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DieseArbeitsmappe" defaultThemeVersion="124226"/>
  <mc:AlternateContent xmlns:mc="http://schemas.openxmlformats.org/markup-compatibility/2006">
    <mc:Choice Requires="x15">
      <x15ac:absPath xmlns:x15ac="http://schemas.microsoft.com/office/spreadsheetml/2010/11/ac" url="E:\Rentabilitätsberechnung Taxi-Mietwagen\"/>
    </mc:Choice>
  </mc:AlternateContent>
  <xr:revisionPtr revIDLastSave="0" documentId="13_ncr:1_{E64D7CF5-3EB9-4B44-8109-BC8A57A5D400}" xr6:coauthVersionLast="47" xr6:coauthVersionMax="47" xr10:uidLastSave="{00000000-0000-0000-0000-000000000000}"/>
  <bookViews>
    <workbookView xWindow="-120" yWindow="-120" windowWidth="29040" windowHeight="15840" tabRatio="900" activeTab="1" xr2:uid="{00000000-000D-0000-FFFF-FFFF00000000}"/>
  </bookViews>
  <sheets>
    <sheet name="Lies mich" sheetId="20" r:id="rId1"/>
    <sheet name="Taxi - Mietwagen" sheetId="18" r:id="rId2"/>
    <sheet name="Treibstoff Rechner" sheetId="15" r:id="rId3"/>
    <sheet name="Nachtzuschlag Rechner " sheetId="22" r:id="rId4"/>
    <sheet name="Lohnkostenanteil" sheetId="31" r:id="rId5"/>
    <sheet name="Fahrpreis Rechner" sheetId="25" r:id="rId6"/>
    <sheet name="Verkehrsbedingte Wartezeit" sheetId="21" r:id="rId7"/>
  </sheets>
  <definedNames>
    <definedName name="_xlnm.Print_Area" localSheetId="1">'Taxi - Mietwagen'!$A$1:$N$54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4" i="18" l="1"/>
  <c r="F9" i="15"/>
  <c r="F22" i="15"/>
  <c r="J36" i="18" l="1"/>
  <c r="F37" i="18"/>
  <c r="C37" i="18"/>
  <c r="F39" i="18"/>
  <c r="C39" i="18"/>
  <c r="C5" i="31"/>
  <c r="F3" i="15"/>
  <c r="F23" i="15" s="1"/>
  <c r="F24" i="15" s="1"/>
  <c r="J38" i="18"/>
  <c r="F10" i="15" l="1"/>
  <c r="F11" i="15" s="1"/>
  <c r="C11" i="31"/>
  <c r="C18" i="31"/>
  <c r="C17" i="31"/>
  <c r="C16" i="31"/>
  <c r="C15" i="31"/>
  <c r="C12" i="31"/>
  <c r="C10" i="31"/>
  <c r="C9" i="31"/>
  <c r="C8" i="31"/>
  <c r="C7" i="31"/>
  <c r="C24" i="18"/>
  <c r="C13" i="31" l="1"/>
  <c r="C19" i="31" s="1"/>
  <c r="B24" i="31" s="1"/>
  <c r="U22" i="22" l="1"/>
  <c r="L11" i="21"/>
  <c r="B23" i="31" l="1"/>
  <c r="B25" i="31" s="1"/>
  <c r="B17" i="25" l="1"/>
  <c r="K51" i="18"/>
  <c r="T18" i="25"/>
  <c r="N27" i="18"/>
  <c r="E18" i="18"/>
  <c r="Z13" i="25"/>
  <c r="AA13" i="25" s="1"/>
  <c r="Y14" i="25" s="1"/>
  <c r="AB5" i="25"/>
  <c r="J50" i="18" l="1"/>
  <c r="N32" i="25" l="1"/>
  <c r="L32" i="25" s="1"/>
  <c r="T17" i="25" l="1"/>
  <c r="AF6" i="22"/>
  <c r="N17" i="25"/>
  <c r="H17" i="25"/>
  <c r="T19" i="25" l="1"/>
  <c r="T22" i="25"/>
  <c r="H18" i="25"/>
  <c r="H19" i="25" s="1"/>
  <c r="T21" i="25" l="1"/>
  <c r="N18" i="25"/>
  <c r="B18" i="25"/>
  <c r="B22" i="25" s="1"/>
  <c r="B25" i="25" s="1"/>
  <c r="N19" i="25" l="1"/>
  <c r="N22" i="25"/>
  <c r="B19" i="25"/>
  <c r="H22" i="25"/>
  <c r="B26" i="25" l="1"/>
  <c r="B28" i="25" s="1"/>
  <c r="N21" i="25"/>
  <c r="B21" i="25"/>
  <c r="H21" i="25"/>
  <c r="G16" i="15" l="1"/>
  <c r="F28" i="22"/>
  <c r="C28" i="22"/>
  <c r="D28" i="22"/>
  <c r="E28" i="22"/>
  <c r="G28" i="22"/>
  <c r="H28" i="22"/>
  <c r="I28" i="22"/>
  <c r="L28" i="22"/>
  <c r="M28" i="22"/>
  <c r="N28" i="22"/>
  <c r="O28" i="22"/>
  <c r="P28" i="22"/>
  <c r="Q28" i="22"/>
  <c r="R28" i="22"/>
  <c r="C29" i="22"/>
  <c r="D29" i="22"/>
  <c r="E29" i="22"/>
  <c r="F29" i="22"/>
  <c r="G29" i="22"/>
  <c r="H29" i="22"/>
  <c r="I29" i="22"/>
  <c r="L29" i="22"/>
  <c r="M29" i="22"/>
  <c r="N29" i="22"/>
  <c r="O29" i="22"/>
  <c r="P29" i="22"/>
  <c r="Q29" i="22"/>
  <c r="R29" i="22"/>
  <c r="L9" i="21"/>
  <c r="Y4" i="21"/>
  <c r="Y3" i="21"/>
  <c r="L7" i="21"/>
  <c r="B28" i="22" l="1"/>
  <c r="Y5" i="21"/>
  <c r="B29" i="22"/>
  <c r="K29" i="22"/>
  <c r="T10" i="22" s="1"/>
  <c r="K28" i="22"/>
  <c r="L10" i="21"/>
  <c r="L12" i="21" s="1"/>
  <c r="L13" i="21" s="1"/>
  <c r="L17" i="21" s="1"/>
  <c r="L21" i="21" l="1"/>
  <c r="L15" i="21"/>
  <c r="T7" i="22"/>
  <c r="E44" i="18"/>
  <c r="F24" i="18"/>
  <c r="E23" i="18"/>
  <c r="E22" i="18"/>
  <c r="E21" i="18"/>
  <c r="E16" i="18"/>
  <c r="E15" i="18"/>
  <c r="E14" i="18"/>
  <c r="T15" i="22" l="1"/>
  <c r="B17" i="18" s="1"/>
  <c r="L22" i="21"/>
  <c r="T9" i="22"/>
  <c r="T11" i="22"/>
  <c r="C17" i="18" s="1"/>
  <c r="F41" i="18"/>
  <c r="F40" i="18"/>
  <c r="C41" i="18"/>
  <c r="C40" i="18"/>
  <c r="F32" i="18"/>
  <c r="C32" i="18"/>
  <c r="T13" i="22" l="1"/>
  <c r="H31" i="18" s="1"/>
  <c r="B13" i="18"/>
  <c r="C13" i="18" s="1"/>
  <c r="K38" i="18"/>
  <c r="E13" i="18"/>
  <c r="F17" i="18"/>
  <c r="E17" i="18"/>
  <c r="M38" i="18" l="1"/>
  <c r="H44" i="18" s="1"/>
  <c r="L50" i="18" s="1"/>
  <c r="L44" i="18"/>
  <c r="C22" i="18"/>
  <c r="C14" i="18"/>
  <c r="C23" i="18"/>
  <c r="C15" i="18"/>
  <c r="C21" i="18"/>
  <c r="J31" i="18"/>
  <c r="Y7" i="21" s="1"/>
  <c r="C8" i="15"/>
  <c r="C14" i="15" s="1"/>
  <c r="C16" i="15" s="1"/>
  <c r="F12" i="15" s="1"/>
  <c r="F14" i="15" s="1"/>
  <c r="C21" i="15"/>
  <c r="C27" i="15" s="1"/>
  <c r="C29" i="15" s="1"/>
  <c r="F25" i="15" s="1"/>
  <c r="F27" i="15" s="1"/>
  <c r="C30" i="18" l="1"/>
  <c r="F30" i="18"/>
  <c r="F13" i="18"/>
  <c r="N38" i="18"/>
  <c r="J44" i="18"/>
  <c r="F22" i="18" l="1"/>
  <c r="F23" i="18"/>
  <c r="F21" i="18"/>
  <c r="N41" i="18"/>
  <c r="M41" i="18"/>
  <c r="L47" i="18" s="1"/>
  <c r="M50" i="18"/>
  <c r="N44" i="18" s="1"/>
  <c r="F14" i="18"/>
  <c r="F15" i="18"/>
  <c r="M47" i="18" l="1"/>
  <c r="N50" i="18"/>
  <c r="M44" i="18" l="1"/>
  <c r="N47" i="18"/>
  <c r="C6" i="18" s="1"/>
  <c r="C9" i="18" s="1"/>
  <c r="F6" i="18"/>
  <c r="E6" i="18" s="1"/>
  <c r="F4" i="18" s="1"/>
  <c r="C5" i="18" l="1"/>
  <c r="F9" i="18"/>
  <c r="F5" i="18"/>
  <c r="F31" i="18" l="1"/>
  <c r="F33" i="18" s="1"/>
  <c r="F10" i="18"/>
  <c r="F11" i="18" l="1"/>
  <c r="F28" i="15" s="1"/>
  <c r="F29" i="15" s="1"/>
  <c r="E30" i="18" s="1"/>
  <c r="F38" i="18" l="1"/>
  <c r="F18" i="18"/>
  <c r="F16" i="18"/>
  <c r="F19" i="18" l="1"/>
  <c r="E19" i="18" s="1"/>
  <c r="B6" i="18" l="1"/>
  <c r="C4" i="18" s="1"/>
  <c r="F25" i="18" l="1"/>
  <c r="N31" i="18" s="1"/>
  <c r="C10" i="18"/>
  <c r="C11" i="18" l="1"/>
  <c r="C38" i="18" s="1"/>
  <c r="F27" i="18"/>
  <c r="F34" i="18" s="1"/>
  <c r="C31" i="18"/>
  <c r="C33" i="18" s="1"/>
  <c r="F43" i="18" l="1"/>
  <c r="F44" i="18" s="1"/>
  <c r="F46" i="18" l="1"/>
  <c r="F49" i="18" s="1"/>
  <c r="F15" i="15"/>
  <c r="F16" i="15" s="1"/>
  <c r="B30" i="18" s="1"/>
  <c r="C18" i="18"/>
  <c r="C16" i="18"/>
  <c r="F53" i="18" l="1"/>
  <c r="M53" i="18" s="1"/>
  <c r="C19" i="18"/>
  <c r="L31" i="18" s="1"/>
  <c r="B19" i="18" l="1"/>
  <c r="C25" i="18"/>
  <c r="M31" i="18" s="1"/>
  <c r="C27" i="18" l="1"/>
  <c r="C34" i="18" s="1"/>
  <c r="C43" i="18" l="1"/>
  <c r="C44" i="18" s="1"/>
  <c r="C46" i="18" l="1"/>
  <c r="C49" i="18" s="1"/>
  <c r="C53" i="18" l="1"/>
  <c r="K53" i="18" s="1"/>
</calcChain>
</file>

<file path=xl/sharedStrings.xml><?xml version="1.0" encoding="utf-8"?>
<sst xmlns="http://schemas.openxmlformats.org/spreadsheetml/2006/main" count="464" uniqueCount="254">
  <si>
    <t>Gesamt Bruttoumsatz pro Monat</t>
  </si>
  <si>
    <t>Betrag</t>
  </si>
  <si>
    <t>Einnahmen jährlich (Brutto)</t>
  </si>
  <si>
    <t>MwSt.</t>
  </si>
  <si>
    <t>Einnahmen jährlich (Netto)</t>
  </si>
  <si>
    <t>Vier Wochen Urlaub</t>
  </si>
  <si>
    <t>Gesamt Bruttolohn</t>
  </si>
  <si>
    <t>AG- Anteil Sozialversicherung</t>
  </si>
  <si>
    <t>Umlage Sozialversicherung</t>
  </si>
  <si>
    <t>Berufsgenossenschaft</t>
  </si>
  <si>
    <t>Gesamt Personalkosten</t>
  </si>
  <si>
    <t>Gewinn nach Personalkosten</t>
  </si>
  <si>
    <t>Sonstige variable Kosten</t>
  </si>
  <si>
    <t>Reparaturen</t>
  </si>
  <si>
    <t>Sonstiges</t>
  </si>
  <si>
    <t>Deckungsbeitrag</t>
  </si>
  <si>
    <t>Fremdkapitalzinsen</t>
  </si>
  <si>
    <t>Abschreibung/Abnutzung</t>
  </si>
  <si>
    <t>Gewinn vor Gewerbesteuer</t>
  </si>
  <si>
    <t>Std.pro Tag</t>
  </si>
  <si>
    <t>Ø Arbeitstage pro Monat</t>
  </si>
  <si>
    <t>Ø Stunden pro Monat</t>
  </si>
  <si>
    <t>Lohnberechnung pro Fahrer</t>
  </si>
  <si>
    <t>Brutto Std. Lohn</t>
  </si>
  <si>
    <t>Fahrzeug Steuer und Versicherung</t>
  </si>
  <si>
    <t>Ø km/h Innenstadt</t>
  </si>
  <si>
    <t>Besetztkilometer pro Tag</t>
  </si>
  <si>
    <t>Ø Strecke pro Auftrag in Km</t>
  </si>
  <si>
    <t>Anzahl Fahrten</t>
  </si>
  <si>
    <t>Mögliche Auslastung pro Tag und Auto mit</t>
  </si>
  <si>
    <t>Fahrer(n)</t>
  </si>
  <si>
    <t>Anzahl Anschläge</t>
  </si>
  <si>
    <t>€ pro Anschlag</t>
  </si>
  <si>
    <t xml:space="preserve">Anschläge € pro Tag </t>
  </si>
  <si>
    <t>Fahrpreis pro km</t>
  </si>
  <si>
    <t>Berechnung Fahrpersonal</t>
  </si>
  <si>
    <t>Berechnung Fahrzeugauslastung</t>
  </si>
  <si>
    <t>pro Monat</t>
  </si>
  <si>
    <t>Besetzte Kilometer pro Std.</t>
  </si>
  <si>
    <t>Sprit pro Liter</t>
  </si>
  <si>
    <t>Kilometer</t>
  </si>
  <si>
    <t>Liter pro 100 Kilometer</t>
  </si>
  <si>
    <t>Spritkosten pro Kilometer</t>
  </si>
  <si>
    <t>Liter pro Kilometer</t>
  </si>
  <si>
    <t>Ø</t>
  </si>
  <si>
    <t>Monat</t>
  </si>
  <si>
    <t>Wochen</t>
  </si>
  <si>
    <t>Tage pro Monat</t>
  </si>
  <si>
    <t>Fahrten pro Schicht</t>
  </si>
  <si>
    <t>Km-Fahrpreis pro Tag</t>
  </si>
  <si>
    <t>Gewerbesteuer Ø</t>
  </si>
  <si>
    <t xml:space="preserve">Anwendung </t>
  </si>
  <si>
    <t>Lfz. Krank</t>
  </si>
  <si>
    <t>Mietwagen</t>
  </si>
  <si>
    <t>Taxi</t>
  </si>
  <si>
    <t>Blaue Zellen:</t>
  </si>
  <si>
    <t>Tagesumsatz</t>
  </si>
  <si>
    <t>Monatsumsatz</t>
  </si>
  <si>
    <t>Weihnachtsgeld (Anteilig vom Netto-Umsatz)</t>
  </si>
  <si>
    <t>hier Fahrzeugverbrauch eingeben</t>
  </si>
  <si>
    <t>pro Jahr</t>
  </si>
  <si>
    <t>Treibstoffkosten</t>
  </si>
  <si>
    <t>Treibstoffverbrauch in %</t>
  </si>
  <si>
    <t>Kalkulierter Brutto-Umsatz</t>
  </si>
  <si>
    <t>Jahreskilometer Berechnung Taxi</t>
  </si>
  <si>
    <t>Jahreskilometer Berechnung Mietwagen</t>
  </si>
  <si>
    <t>Treibstoffrechner für Taxi</t>
  </si>
  <si>
    <t>Treibstoffrechner für Mietwagen</t>
  </si>
  <si>
    <t>Jahreskilometer</t>
  </si>
  <si>
    <r>
      <rPr>
        <b/>
        <sz val="11"/>
        <color rgb="FF9C0006"/>
        <rFont val="Calibri"/>
        <family val="2"/>
        <scheme val="minor"/>
      </rPr>
      <t>Hinweis:</t>
    </r>
    <r>
      <rPr>
        <sz val="11"/>
        <color rgb="FF9C0006"/>
        <rFont val="Calibri"/>
        <family val="2"/>
        <scheme val="minor"/>
      </rPr>
      <t xml:space="preserve"> Der Leerkilometeranteil beim Taxi beinhaltet die Fahrt vom und zum Betriebshof, sowie die </t>
    </r>
    <r>
      <rPr>
        <b/>
        <u/>
        <sz val="11"/>
        <color rgb="FF9C0006"/>
        <rFont val="Calibri"/>
        <family val="2"/>
        <scheme val="minor"/>
      </rPr>
      <t>Rückkehrpflicht</t>
    </r>
    <r>
      <rPr>
        <u/>
        <sz val="11"/>
        <color rgb="FF9C0006"/>
        <rFont val="Calibri"/>
        <family val="2"/>
        <scheme val="minor"/>
      </rPr>
      <t xml:space="preserve"> </t>
    </r>
    <r>
      <rPr>
        <b/>
        <u/>
        <sz val="11"/>
        <color rgb="FF9C0006"/>
        <rFont val="Calibri"/>
        <family val="2"/>
        <scheme val="minor"/>
      </rPr>
      <t>zu den Taxihalteplätzen.</t>
    </r>
  </si>
  <si>
    <r>
      <rPr>
        <sz val="10"/>
        <color rgb="FF9C0006"/>
        <rFont val="Arial"/>
        <family val="2"/>
      </rPr>
      <t xml:space="preserve">Hinweis: </t>
    </r>
    <r>
      <rPr>
        <u/>
        <sz val="10"/>
        <color rgb="FF9C0006"/>
        <rFont val="Arial"/>
        <family val="2"/>
      </rPr>
      <t>Rückkehrpflicht bei Mietwagen mit einplanen</t>
    </r>
  </si>
  <si>
    <t>Gesamtkilometer pro Tag</t>
  </si>
  <si>
    <t>Gewinn</t>
  </si>
  <si>
    <t>entspricht x % v.Umsatz</t>
  </si>
  <si>
    <t>Rentabilitätsberechnung</t>
  </si>
  <si>
    <t>Bruttolohn aller Fahrer</t>
  </si>
  <si>
    <r>
      <rPr>
        <b/>
        <u/>
        <sz val="11"/>
        <rFont val="Arial"/>
        <family val="2"/>
      </rPr>
      <t>Berechnung Fahrpersonal</t>
    </r>
    <r>
      <rPr>
        <b/>
        <sz val="11"/>
        <rFont val="Arial"/>
        <family val="2"/>
      </rPr>
      <t>.</t>
    </r>
    <r>
      <rPr>
        <sz val="11"/>
        <rFont val="Arial"/>
        <family val="2"/>
      </rPr>
      <t xml:space="preserve"> Sie</t>
    </r>
    <r>
      <rPr>
        <b/>
        <sz val="11"/>
        <rFont val="Arial"/>
        <family val="2"/>
      </rPr>
      <t xml:space="preserve"> </t>
    </r>
    <r>
      <rPr>
        <sz val="11"/>
        <rFont val="Arial"/>
        <family val="2"/>
      </rPr>
      <t>unterliegt gesetzlichen Vorschriften. Mindestlohn, Arbeitszeit sowie Urlaubsanspruch und LFZ im Krankheitsfall sind gesetzlich geregelt..</t>
    </r>
  </si>
  <si>
    <t xml:space="preserve">In den blau hinterlegten Zellen </t>
  </si>
  <si>
    <t>Anzahl Fahrer:</t>
  </si>
  <si>
    <t>Std. Taxi inkl. WerWz</t>
  </si>
  <si>
    <t>x%</t>
  </si>
  <si>
    <t>Summe</t>
  </si>
  <si>
    <t>Tageskilometer</t>
  </si>
  <si>
    <t>Anschlag</t>
  </si>
  <si>
    <t>€ pro Km</t>
  </si>
  <si>
    <t>VerWz</t>
  </si>
  <si>
    <t>Umsatz</t>
  </si>
  <si>
    <t>Anschläge</t>
  </si>
  <si>
    <t>Besetzt Kilometer</t>
  </si>
  <si>
    <t>x</t>
  </si>
  <si>
    <t>=</t>
  </si>
  <si>
    <t>Umsatz ohne VerWz</t>
  </si>
  <si>
    <t>Umsatz inkl. VerWz</t>
  </si>
  <si>
    <t>VerWz vom Umsatz</t>
  </si>
  <si>
    <t>Tagfahrer</t>
  </si>
  <si>
    <t>Nachtfahrer</t>
  </si>
  <si>
    <t>Uhrzeit</t>
  </si>
  <si>
    <t>Mo</t>
  </si>
  <si>
    <t>Di</t>
  </si>
  <si>
    <t>Mi</t>
  </si>
  <si>
    <t>Do</t>
  </si>
  <si>
    <t>Fr</t>
  </si>
  <si>
    <t>Sa</t>
  </si>
  <si>
    <t>So</t>
  </si>
  <si>
    <t xml:space="preserve">Nachzuschläge müssen nur dann gezahlt werden, wenn der Mitarbeiter länger als 2 Stunden nach 22:00 Uhr (Nachtfahrer) bzw. 2 Stunden vor 06:00 Uhr (Tagfahrer) im Einsatz ist. </t>
  </si>
  <si>
    <t>Nachtzuschlag</t>
  </si>
  <si>
    <r>
      <t>Durch die Rückkerpflicht zum Betriebssitz müsste -</t>
    </r>
    <r>
      <rPr>
        <b/>
        <u/>
        <sz val="9"/>
        <color rgb="FF9C0006"/>
        <rFont val="Arial"/>
        <family val="2"/>
      </rPr>
      <t>im direkten Vergleich</t>
    </r>
    <r>
      <rPr>
        <sz val="9"/>
        <color rgb="FF9C0006"/>
        <rFont val="Arial"/>
        <family val="2"/>
      </rPr>
      <t>- die Besetztquote geringer sein als beim Taxi</t>
    </r>
  </si>
  <si>
    <t>Fahrzeug-Typ und Hersteller beachten</t>
  </si>
  <si>
    <t>Hier aktuellen Prozentsatz vom Umsatz</t>
  </si>
  <si>
    <t>um x Prozent erhöhen</t>
  </si>
  <si>
    <t>auf</t>
  </si>
  <si>
    <r>
      <t xml:space="preserve">Gesetzlicher Nachtzuschlag </t>
    </r>
    <r>
      <rPr>
        <b/>
        <sz val="11"/>
        <rFont val="Arial"/>
        <family val="2"/>
      </rPr>
      <t>(Schichtanteil)</t>
    </r>
  </si>
  <si>
    <r>
      <t xml:space="preserve">Berechnungsgrundlage                                                                                     </t>
    </r>
    <r>
      <rPr>
        <sz val="11"/>
        <color theme="1"/>
        <rFont val="Arial"/>
        <family val="2"/>
      </rPr>
      <t xml:space="preserve">   Rentabilitätsberechnung durch Ralph Goossens </t>
    </r>
  </si>
  <si>
    <t>Ab wann schaltet sich die verkehsbedingte Wartezeit ein?</t>
  </si>
  <si>
    <t>Somit schaltet sich die VerWz bei einer Geschwindigkeit von unter 15,91 km/h ein.</t>
  </si>
  <si>
    <t>Angenommen, der Tarif beinhaltet 2,20 € pro Kilometer und die VerWz 35,- €.</t>
  </si>
  <si>
    <t xml:space="preserve">Wer also exakt mit 15,91 km/h Geschwindigkeit fährt, hat nach 1 Stunde 35,- € auf dem Taxameter. </t>
  </si>
  <si>
    <t>Hier Ihre aktuelle VerWz eintragen</t>
  </si>
  <si>
    <t>Berechnung: 35,- € : 2,20 € = 15,91 km/h</t>
  </si>
  <si>
    <t>Neue VerWz</t>
  </si>
  <si>
    <t>Wie stelle ich fest, wieviel Prozent meines Umsatzes die VerWz beinhaltet?</t>
  </si>
  <si>
    <t>Düsseldorfer Tarif Stand 2015</t>
  </si>
  <si>
    <t>Ges. Nachtzuschlag (Schichtanteil)</t>
  </si>
  <si>
    <t>Dieser Wert wird in die Taxi - Mietwagen Tabelle übertragen.</t>
  </si>
  <si>
    <t>Bitte hier die Arbeitsstunden (ohne Pause) eintragen</t>
  </si>
  <si>
    <t>Trage Deinen ermittelten Wert in die Taxi - Mietwagen Tabelle ein.</t>
  </si>
  <si>
    <t>Tip: Vor Beginn ist es sinnvoll eine Sicherungskopie anzulegen!</t>
  </si>
  <si>
    <t>Berechnung Fahrpreis/Tarif</t>
  </si>
  <si>
    <r>
      <rPr>
        <b/>
        <u/>
        <sz val="11"/>
        <rFont val="Arial"/>
        <family val="2"/>
      </rPr>
      <t>Berechnung Fahrpreis.</t>
    </r>
    <r>
      <rPr>
        <b/>
        <sz val="11"/>
        <rFont val="Arial"/>
        <family val="2"/>
      </rPr>
      <t xml:space="preserve"> Er</t>
    </r>
    <r>
      <rPr>
        <sz val="11"/>
        <rFont val="Arial"/>
        <family val="2"/>
      </rPr>
      <t xml:space="preserve"> kann anhand von Taxameter-Anschlägen, und Kilometerpreis berechnet werden. Anhand der berechneten Anzahl der Anschläge und der Ø Strecke pro Fahrauftrag lässt sich der Umsatz berechnen. Darüber hinaus kann eine verkehrsbedingte Wartezeit (VerWz) hinzugeführt werden. Die VerWz ist in den Taxitarifen ein fester Bestandteil. In der Regel ist eine VerWz bei Mietwagen nicht vorgesehen, da Mietwagen in der Regel mit Festpreisen kalkulieren.</t>
    </r>
  </si>
  <si>
    <r>
      <rPr>
        <b/>
        <u/>
        <sz val="11"/>
        <rFont val="Arial"/>
        <family val="2"/>
      </rPr>
      <t>Berechnung Fahrzeugauslastung</t>
    </r>
    <r>
      <rPr>
        <b/>
        <sz val="11"/>
        <rFont val="Arial"/>
        <family val="2"/>
      </rPr>
      <t xml:space="preserve">, </t>
    </r>
    <r>
      <rPr>
        <sz val="11"/>
        <rFont val="Arial"/>
        <family val="2"/>
      </rPr>
      <t>sowie Angaben zu Fahrzeugkosten (z.B. Treibstoffkosten etc.) können auch aus der BWA, der Fuhrparkstatistik und, falls vorhanden, den Insika Systemen entnommen werden. Die Ø Geschwindigkeit, mit der sich ein Fahrzeug fortbewegt, liegt in den Großstädten bei ca 21-23 km/h. Hinzu kommt die Ø Besetzquote. Sie liegt zurzeit bei ungefähr 40% - 50%.</t>
    </r>
  </si>
  <si>
    <t>Fahrpreisrechner</t>
  </si>
  <si>
    <t>Fahrstrecke</t>
  </si>
  <si>
    <t>Eingabe</t>
  </si>
  <si>
    <t>km</t>
  </si>
  <si>
    <t>Grundpreis</t>
  </si>
  <si>
    <t>Freistrecke</t>
  </si>
  <si>
    <t>Preis pro KM</t>
  </si>
  <si>
    <t>Bruttopreis</t>
  </si>
  <si>
    <t>Verkehrsbedingte Wartezeit</t>
  </si>
  <si>
    <t>abzgl. MwSt.</t>
  </si>
  <si>
    <t>Preis pro Km ab</t>
  </si>
  <si>
    <t>Tag/Nacht</t>
  </si>
  <si>
    <t>Taxi - Mietwagen</t>
  </si>
  <si>
    <t>Treibstoff Rechner</t>
  </si>
  <si>
    <t>Wochen pro Monat</t>
  </si>
  <si>
    <t>Stunden pro Monat</t>
  </si>
  <si>
    <t>Die verkehrsbedingte Wartezeit (VerWz) beinhaltet roten Ampeln, Baustellen, Verkehrsaufkommen und Warten auf Fahrgäste. Da dies in der Kalkulation schwer vorhersehbar ist, muss in die Vergangenheit geschaut werden. Dies geschieht, in dem erzielte Umsätze in ihre Einzelteile (Anzahl der Fahrten und Kilometerpreis) zerlegt werden. Übrig bleibt die verkehrsbedingte Wartezeit. Daraus ergibt sich ein prozentualer Anteil vom Gesamtumsatz. Dieser fließt wiederum in die neue Berechnung ein.</t>
  </si>
  <si>
    <t>Zuschlagsfähige Std. pro Woche</t>
  </si>
  <si>
    <t>Zuschlagsfähige Std. pro Monat</t>
  </si>
  <si>
    <t>Der prozentuale Treibstoffverbrauch muss in die Taxi-Mietwagen Tabelle übertragen werden</t>
  </si>
  <si>
    <t>Nachtzuschlag Rechner</t>
  </si>
  <si>
    <t>Der prozentuale Anteil für Nachtzuschlag wird automatisch in die Taxi-Mietwagen Tabelle übertragen</t>
  </si>
  <si>
    <t>Fahrpreis Rechner</t>
  </si>
  <si>
    <t xml:space="preserve">Der Fahrpreis Rechner vergleicht unterschidliche Tarife miteinander und hilft Durchschnittswerte zu ermitteln. </t>
  </si>
  <si>
    <t>Hier wird erklärt, wie die verkehrsbedingte Wartezeit (VerWz) aus dem Umsatz herausgerechnet werden kann und welchen prozentualen Anteil sie vom Umsatz ist. Beschrieben wird auch ab welcher Geschwindigkeitsuntergrenze sie anstelle des Kilometergeldes tritt. Darüber hinaus kann eine VerWz Erhöhung gegenüber einer bestehenden VerWz berechnet werden</t>
  </si>
  <si>
    <t>Nimmt man z.B. einen dynamischen Tarif mit unterschiedlichen Kilometerpreisen und überträgt das Ergebnis auf den "einfachen Tarif", kann das Ergebnis wiederum in die Taxi-Mietwagen Tabelle übernommen werden.</t>
  </si>
  <si>
    <t>xxx</t>
  </si>
  <si>
    <t>Die Tabelle wurde in den letzten Monaten immer weiter entwickelt und soll auch weiterhin verbessert werden. Ich habe die Tabelle nach bestem Wissen und Gewissen erstellt, jedoch gebe ich keine Garantie auf Richtigkeit. Bitte mitteilen, wenn Fehler in der Tabelle erkennbar werden.</t>
  </si>
  <si>
    <t>Gewinn Taxi</t>
  </si>
  <si>
    <t>Gewinn Mietwagen</t>
  </si>
  <si>
    <t>Großraum</t>
  </si>
  <si>
    <t>Messe Pausch</t>
  </si>
  <si>
    <t>werden alle notwendigen Daten eingetragen. (Dies gilt auch für alle anderen Blätter)</t>
  </si>
  <si>
    <t>Zuschläge</t>
  </si>
  <si>
    <t>Arbeitsstunden</t>
  </si>
  <si>
    <t>Ralph Goossens</t>
  </si>
  <si>
    <t>Tel. 0163/5089690</t>
  </si>
  <si>
    <t>Ralph.goossens@outlook.de</t>
  </si>
  <si>
    <t>https://www.taxileaks.de</t>
  </si>
  <si>
    <t>Schau hier mal rein!</t>
  </si>
  <si>
    <t>Der Rentabilitätsrechner stellt Taxi und Mietwagen zu gleichen Bedingungen gegenüber. Er hat nicht den Anspruch auf Vollständigkeit.</t>
  </si>
  <si>
    <t>Möchten Sie nun die VerWz z.B. um 1% erhöhen, können Sie anhand der nebenstehenden Tabelle sehen wie sich die VerWz in Euro verändert.</t>
  </si>
  <si>
    <t>Messe Pauschalpreise, Großraumzuschläge o. Ä. werden hier nicht brücksichtigt.</t>
  </si>
  <si>
    <t>Hier kann geprüft werden wie sich der Fahrpreis zwischen einfachem und dynamischen Tarif unterscheidet, oder wie sich ein Nachttarif gegenüber des Tagtarif darstellt und wie sich Kurz- und Langstrecken auswirken.</t>
  </si>
  <si>
    <t>Fahrpreis: Strecke und Zeit</t>
  </si>
  <si>
    <t>Minuten</t>
  </si>
  <si>
    <t>Zeitpreis</t>
  </si>
  <si>
    <t>pro Minute</t>
  </si>
  <si>
    <t>Mietwagen Fahrpreis (19% MwSt.)</t>
  </si>
  <si>
    <t>Einfacher Tarif (7% MwSt.)</t>
  </si>
  <si>
    <t>Nettopreis</t>
  </si>
  <si>
    <t>Benötigte Fahrzeit</t>
  </si>
  <si>
    <t>Ggf. Mindestpreis berücksichtigen (z.B. 5,- € bei UBER)</t>
  </si>
  <si>
    <t>min.</t>
  </si>
  <si>
    <t>Ø Std. pro Schicht</t>
  </si>
  <si>
    <t>Zurzeit pro Stunde</t>
  </si>
  <si>
    <t>VerWz pro Tag</t>
  </si>
  <si>
    <t>VerFz pro Tag</t>
  </si>
  <si>
    <t>Minuten pro Kilometer</t>
  </si>
  <si>
    <t>Stunden und Minuten &gt; Dezimalstunden</t>
  </si>
  <si>
    <t>Eingabe Std.</t>
  </si>
  <si>
    <t>Eingabe Min.</t>
  </si>
  <si>
    <t>:</t>
  </si>
  <si>
    <t>Dezimal Std.,Min.</t>
  </si>
  <si>
    <t>Km/h Ø</t>
  </si>
  <si>
    <t>Gesamt Std. pro Woche</t>
  </si>
  <si>
    <t>Std.Mietwagen inkl. VerFz</t>
  </si>
  <si>
    <t>Tagesumsatz ohne VerWz/VerFz</t>
  </si>
  <si>
    <t>Bonus / Provision</t>
  </si>
  <si>
    <t>Ø pro Fahrer</t>
  </si>
  <si>
    <t>Personalkosten</t>
  </si>
  <si>
    <r>
      <rPr>
        <b/>
        <sz val="11"/>
        <color rgb="FFFF0000"/>
        <rFont val="Arial"/>
        <family val="2"/>
      </rPr>
      <t>Mietwagen:</t>
    </r>
    <r>
      <rPr>
        <b/>
        <sz val="11"/>
        <rFont val="Arial"/>
        <family val="2"/>
      </rPr>
      <t xml:space="preserve"> </t>
    </r>
    <r>
      <rPr>
        <sz val="11"/>
        <rFont val="Arial"/>
        <family val="2"/>
      </rPr>
      <t>Verkehrsbedingte Fahrzeit (VerFz)</t>
    </r>
    <r>
      <rPr>
        <b/>
        <sz val="11"/>
        <rFont val="Arial"/>
        <family val="2"/>
      </rPr>
      <t xml:space="preserve"> zurzeit 0,30 € Cent pro Minute</t>
    </r>
  </si>
  <si>
    <r>
      <rPr>
        <b/>
        <sz val="11"/>
        <color rgb="FF0066FF"/>
        <rFont val="Arial"/>
        <family val="2"/>
      </rPr>
      <t>Taxi:</t>
    </r>
    <r>
      <rPr>
        <b/>
        <sz val="11"/>
        <rFont val="Arial"/>
        <family val="2"/>
      </rPr>
      <t xml:space="preserve"> </t>
    </r>
    <r>
      <rPr>
        <sz val="11"/>
        <rFont val="Arial"/>
        <family val="2"/>
      </rPr>
      <t>Verkehrsbedingte Wartezeit (VerWz)</t>
    </r>
  </si>
  <si>
    <t xml:space="preserve">Gewinn </t>
  </si>
  <si>
    <t>Ø Minuten pro Auftrag</t>
  </si>
  <si>
    <t>Dynamischer Tarif (19%)</t>
  </si>
  <si>
    <t>Dynamischer Tarif (7% MwSt.)</t>
  </si>
  <si>
    <t>Eingabefelder zur Berechnung</t>
  </si>
  <si>
    <t>Blau hinterlegte Zellen sind Eingabezellen. Sollte z.B. der Tarif, oder der Lohn verändert werden müssen, kann dies in den jeweils vorgesehenen Zellen vorgenommen werden. Selbstverständlich können auch andere Bereiche geändert werden. Dafür muss der Blattschutz aufgehoben werden. Bitte beachten, wenn der Blattschutz aufgehoben ist, können Formeln gelöscht werden.</t>
  </si>
  <si>
    <t>Gewinn nach Steuern</t>
  </si>
  <si>
    <t>Wie schnell bin ich wenn ich für x Minuten y Kilometer benötige?</t>
  </si>
  <si>
    <t>Urlaubsberechnung:</t>
  </si>
  <si>
    <t>Der Monat hat Ø 4,33 Wochen</t>
  </si>
  <si>
    <t>Der Mitabeiter hat Anspruch auf 4 Wochen Urlaub</t>
  </si>
  <si>
    <t>Beispiel:</t>
  </si>
  <si>
    <t>1847,58 € sind somit 8,4% vom Jahreslohn.</t>
  </si>
  <si>
    <t>Bitte in die dafür vorgesehenen Kästchen ein x eintragen. Das System errechnet automatisch die Arbeitsstunden und die Nachtzuschlagszeiten. Bitte keine Pausen eintragen</t>
  </si>
  <si>
    <t xml:space="preserve">Lohn Ø 2000,- € pro Monat : 4,33 Wochen x 4 Wochen = 1847,58 € </t>
  </si>
  <si>
    <t>Der Mitarbeiter arbeitet 11 Monate x 2000,- € = 22.000,- € Jahreslohn</t>
  </si>
  <si>
    <t>netto</t>
  </si>
  <si>
    <t>brutto</t>
  </si>
  <si>
    <r>
      <t xml:space="preserve">Gesetzlicher Nachtzuschlag </t>
    </r>
    <r>
      <rPr>
        <b/>
        <sz val="10"/>
        <rFont val="Arial"/>
        <family val="2"/>
      </rPr>
      <t>(Schichtanteil)</t>
    </r>
  </si>
  <si>
    <t>Bruttolohn Fahrer</t>
  </si>
  <si>
    <t>Ø Netto Std. Umsatz</t>
  </si>
  <si>
    <t>Ø Umsatz pro Schicht im Monat</t>
  </si>
  <si>
    <t>Nachtzulage</t>
  </si>
  <si>
    <t>Maximaler Lohnanteil vom netto Umsatz</t>
  </si>
  <si>
    <t>Benötigter Std. Umsatz</t>
  </si>
  <si>
    <t xml:space="preserve">Beispiel, der Mitarbeiter arbeitet 180 Stunden im Monat und davon 36 Std. im Nachtzuschlagsbereich. Das sind 20%. </t>
  </si>
  <si>
    <t>Hier den gewünschten Anteil vom Bruttolohn in Prozent eingeben</t>
  </si>
  <si>
    <t>Erklärung zur Nutzung des Lohnkostenrechners</t>
  </si>
  <si>
    <t>Nebenstehend in die blau hinterlegten Felder die nötigen Daten eintragen.</t>
  </si>
  <si>
    <t>Fixkosten und Vermittlungsgebühr</t>
  </si>
  <si>
    <t>Preissteigerung</t>
  </si>
  <si>
    <t>Fahrpreis oder Tarif neu</t>
  </si>
  <si>
    <t xml:space="preserve">Preissteigerung um </t>
  </si>
  <si>
    <t>Fahrpreis oder Tarif alt</t>
  </si>
  <si>
    <t>Ø Besetztquote Auslastg.</t>
  </si>
  <si>
    <t>Treibstoff (in % der Netto-Einnahmen)</t>
  </si>
  <si>
    <t>hier netto Literpreis eingeben</t>
  </si>
  <si>
    <t>Treibstoff pro Liter</t>
  </si>
  <si>
    <t>Besetztkilometeranteil</t>
  </si>
  <si>
    <t>Geben Sie in der Jahreskilometerberchnung den Besetztkilometeranteil ein. Daraus ergeben sich die gefahrenen Kilometer pro Jahr.</t>
  </si>
  <si>
    <t>Treibstoffrechner</t>
  </si>
  <si>
    <t>Hier nur den Verbrauch und den Spritpreis pro Liter eingeben. Der sich daraus ergebende Treibstoffverbrauch wird automatisch in die Taxi-Mietwagen-Tabelle übertragen.</t>
  </si>
  <si>
    <r>
      <t xml:space="preserve">% vom </t>
    </r>
    <r>
      <rPr>
        <b/>
        <u/>
        <sz val="11"/>
        <rFont val="Arial"/>
        <family val="2"/>
      </rPr>
      <t>Nettoumsatz</t>
    </r>
  </si>
  <si>
    <r>
      <rPr>
        <sz val="11"/>
        <rFont val="Arial"/>
        <family val="2"/>
      </rPr>
      <t xml:space="preserve">Fix vom </t>
    </r>
    <r>
      <rPr>
        <b/>
        <u/>
        <sz val="11"/>
        <rFont val="Arial"/>
        <family val="2"/>
      </rPr>
      <t>Nettoumsatz</t>
    </r>
  </si>
  <si>
    <t xml:space="preserve">Ich muss wissen, wieviel ich anteilig vom Umsatz betriebswirtschaftlich für Personalkosten ausgeben kann. Dies lese ich entweder aus der BWA meine Steuerberaters, oder schaue in die Taxi-Mietwagen Tabelle unter Personalkosten Taxi. Solange ich einen Unternehmensgewinn von mindestens 10% habe kann ich den abgelesenen Lohnkostenanteil hier übertragen. </t>
  </si>
  <si>
    <t>Anschlag:</t>
  </si>
  <si>
    <t>Preis pro Kilometer:</t>
  </si>
  <si>
    <t>Verkehrsbedingte Fahrzeit</t>
  </si>
  <si>
    <t>aktueller Tarif Stand:</t>
  </si>
  <si>
    <t>aktueller Taxitarif Stand:</t>
  </si>
  <si>
    <r>
      <t xml:space="preserve">Der ehrlich arbeitende Taxiunternehmer hält sich an die vom Gesetzgeber geforderten Vorgaben. Neben der </t>
    </r>
    <r>
      <rPr>
        <b/>
        <u/>
        <sz val="10"/>
        <color rgb="FF0070C0"/>
        <rFont val="Arial"/>
        <family val="2"/>
      </rPr>
      <t>Tarifpflicht, der Beförderungspflicht und der Betriebspflicht</t>
    </r>
    <r>
      <rPr>
        <sz val="10"/>
        <color rgb="FF0070C0"/>
        <rFont val="Arial"/>
        <family val="2"/>
      </rPr>
      <t xml:space="preserve">, zählt für ihn eine faire Entlohnung seiner Mitarbeiter. Darüber hinaus sorgt er sich um die Fahrgäste. Technisch einwandfreie Fahrzeuge, gut ausgebildetes Fahrpersonal und professionelle Dienstleistung. Dies alles muss gewährleistet sein und kostet Zeit und Geld. In der Tabelle wird schnell erkennbar, wie sehr der Taxiunternehmer auf einen  fairen Wettbewerb angewiesen ist, denn im Gegensatz zu anderen Dienstleistungsanbietern muss der Taxiunternehmer seiner </t>
    </r>
    <r>
      <rPr>
        <b/>
        <u/>
        <sz val="10"/>
        <color rgb="FF0070C0"/>
        <rFont val="Arial"/>
        <family val="2"/>
      </rPr>
      <t>Betriebspflicht nachkommen und Fahrzeuge zu Zeiten vorhalten, an denen nur wenig Umsätze erzielbar sind</t>
    </r>
    <r>
      <rPr>
        <sz val="10"/>
        <color rgb="FF0070C0"/>
        <rFont val="Arial"/>
        <family val="2"/>
      </rPr>
      <t xml:space="preserve">. Daher ist es dringend nötig, Mobilitätsanbieter zu kontingentieren. </t>
    </r>
    <r>
      <rPr>
        <u/>
        <sz val="10"/>
        <color rgb="FFFF0000"/>
        <rFont val="Arial"/>
        <family val="2"/>
      </rPr>
      <t xml:space="preserve">Nur durch eine über den Tag angemessene Besetztquote ist es möglich, bezahlbare Tarife für Fahrgäste, faire Löhne für Mitarbeiter und betriebswirtschaftlich angemessene Einnahmen zu erzielen.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</si>
</sst>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164" formatCode="#,##0.\-\-\ [$€-407];[Red]\-#,##0.\-\-\ [$€-407]"/>
    <numFmt numFmtId="165" formatCode="0.0"/>
    <numFmt numFmtId="166" formatCode="#,##0.00\ &quot;€&quot;"/>
    <numFmt numFmtId="167" formatCode="0.0%"/>
    <numFmt numFmtId="168" formatCode="#,##0\ &quot;€&quot;"/>
    <numFmt numFmtId="169" formatCode="#,##0.000\ &quot;€&quot;"/>
    <numFmt numFmtId="170" formatCode="0.000"/>
  </numFmts>
  <fonts count="7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rgb="FF9C0006"/>
      <name val="Calibri"/>
      <family val="2"/>
      <scheme val="minor"/>
    </font>
    <font>
      <b/>
      <sz val="11"/>
      <color rgb="FF3F3F3F"/>
      <name val="Calibri"/>
      <family val="2"/>
      <scheme val="minor"/>
    </font>
    <font>
      <b/>
      <sz val="11"/>
      <color rgb="FFFA7D00"/>
      <name val="Calibri"/>
      <family val="2"/>
      <scheme val="minor"/>
    </font>
    <font>
      <sz val="10"/>
      <name val="Arial"/>
      <family val="2"/>
    </font>
    <font>
      <sz val="11"/>
      <name val="Arial"/>
      <family val="2"/>
    </font>
    <font>
      <sz val="11"/>
      <color rgb="FFFF0000"/>
      <name val="Arial"/>
      <family val="2"/>
    </font>
    <font>
      <b/>
      <sz val="11"/>
      <name val="Arial"/>
      <family val="2"/>
    </font>
    <font>
      <b/>
      <sz val="11"/>
      <color rgb="FFFF0000"/>
      <name val="Arial"/>
      <family val="2"/>
    </font>
    <font>
      <sz val="11"/>
      <color theme="0"/>
      <name val="Calibri"/>
      <family val="2"/>
      <scheme val="minor"/>
    </font>
    <font>
      <b/>
      <sz val="18"/>
      <color theme="0"/>
      <name val="Calibri"/>
      <family val="2"/>
      <scheme val="minor"/>
    </font>
    <font>
      <sz val="11"/>
      <color theme="1"/>
      <name val="Arial"/>
      <family val="2"/>
    </font>
    <font>
      <b/>
      <sz val="11"/>
      <color theme="0"/>
      <name val="Calibri"/>
      <family val="2"/>
      <scheme val="minor"/>
    </font>
    <font>
      <b/>
      <sz val="11"/>
      <name val="Calibri"/>
      <family val="2"/>
      <scheme val="minor"/>
    </font>
    <font>
      <b/>
      <sz val="11"/>
      <color rgb="FF3F3F3F"/>
      <name val="Arial"/>
      <family val="2"/>
    </font>
    <font>
      <b/>
      <u/>
      <sz val="11"/>
      <name val="Arial"/>
      <family val="2"/>
    </font>
    <font>
      <sz val="11"/>
      <color theme="0"/>
      <name val="Arial"/>
      <family val="2"/>
    </font>
    <font>
      <b/>
      <sz val="11"/>
      <color theme="0"/>
      <name val="Arial"/>
      <family val="2"/>
    </font>
    <font>
      <sz val="12"/>
      <color theme="1"/>
      <name val="Arial"/>
      <family val="2"/>
    </font>
    <font>
      <sz val="14"/>
      <color theme="1"/>
      <name val="Arial"/>
      <family val="2"/>
    </font>
    <font>
      <sz val="8"/>
      <name val="Arial"/>
      <family val="2"/>
    </font>
    <font>
      <b/>
      <sz val="10"/>
      <name val="Arial"/>
      <family val="2"/>
    </font>
    <font>
      <b/>
      <u/>
      <sz val="10"/>
      <name val="Arial"/>
      <family val="2"/>
    </font>
    <font>
      <b/>
      <sz val="11"/>
      <color rgb="FF9C0006"/>
      <name val="Calibri"/>
      <family val="2"/>
      <scheme val="minor"/>
    </font>
    <font>
      <b/>
      <u/>
      <sz val="11"/>
      <color rgb="FF9C0006"/>
      <name val="Calibri"/>
      <family val="2"/>
      <scheme val="minor"/>
    </font>
    <font>
      <u/>
      <sz val="11"/>
      <color rgb="FF9C0006"/>
      <name val="Calibri"/>
      <family val="2"/>
      <scheme val="minor"/>
    </font>
    <font>
      <u/>
      <sz val="10"/>
      <color rgb="FF9C0006"/>
      <name val="Arial"/>
      <family val="2"/>
    </font>
    <font>
      <sz val="10"/>
      <color rgb="FF9C0006"/>
      <name val="Arial"/>
      <family val="2"/>
    </font>
    <font>
      <sz val="10"/>
      <color theme="9" tint="0.59999389629810485"/>
      <name val="Arial"/>
      <family val="2"/>
    </font>
    <font>
      <sz val="10"/>
      <color theme="8" tint="0.59999389629810485"/>
      <name val="Arial"/>
      <family val="2"/>
    </font>
    <font>
      <sz val="11"/>
      <color theme="9" tint="0.59999389629810485"/>
      <name val="Calibri"/>
      <family val="2"/>
      <scheme val="minor"/>
    </font>
    <font>
      <sz val="11"/>
      <color theme="8" tint="0.59999389629810485"/>
      <name val="Calibri"/>
      <family val="2"/>
      <scheme val="minor"/>
    </font>
    <font>
      <b/>
      <sz val="18"/>
      <name val="Calibri"/>
      <family val="2"/>
      <scheme val="minor"/>
    </font>
    <font>
      <b/>
      <sz val="14"/>
      <name val="Calibri"/>
      <family val="2"/>
      <scheme val="minor"/>
    </font>
    <font>
      <sz val="11"/>
      <color rgb="FF9C5700"/>
      <name val="Calibri"/>
      <family val="2"/>
      <scheme val="minor"/>
    </font>
    <font>
      <sz val="9"/>
      <color rgb="FF9C0006"/>
      <name val="Arial"/>
      <family val="2"/>
    </font>
    <font>
      <b/>
      <u/>
      <sz val="9"/>
      <color rgb="FF9C0006"/>
      <name val="Arial"/>
      <family val="2"/>
    </font>
    <font>
      <sz val="10"/>
      <color rgb="FFFF0000"/>
      <name val="Arial"/>
      <family val="2"/>
    </font>
    <font>
      <sz val="11"/>
      <color rgb="FFFFEB9C"/>
      <name val="Calibri"/>
      <family val="2"/>
      <scheme val="minor"/>
    </font>
    <font>
      <sz val="11"/>
      <color theme="6" tint="0.39997558519241921"/>
      <name val="Arial"/>
      <family val="2"/>
    </font>
    <font>
      <sz val="11"/>
      <color rgb="FF006100"/>
      <name val="Calibri"/>
      <family val="2"/>
      <scheme val="minor"/>
    </font>
    <font>
      <b/>
      <sz val="11"/>
      <color rgb="FF006100"/>
      <name val="Calibri"/>
      <family val="2"/>
      <scheme val="minor"/>
    </font>
    <font>
      <sz val="11"/>
      <color rgb="FF3F3F76"/>
      <name val="Calibri"/>
      <family val="2"/>
      <scheme val="minor"/>
    </font>
    <font>
      <sz val="11"/>
      <color rgb="FFFF0000"/>
      <name val="Calibri"/>
      <family val="2"/>
      <scheme val="minor"/>
    </font>
    <font>
      <b/>
      <u/>
      <sz val="11"/>
      <color rgb="FF006100"/>
      <name val="Calibri"/>
      <family val="2"/>
      <scheme val="minor"/>
    </font>
    <font>
      <b/>
      <sz val="11"/>
      <color rgb="FF9C5700"/>
      <name val="Calibri"/>
      <family val="2"/>
      <scheme val="minor"/>
    </font>
    <font>
      <sz val="12"/>
      <name val="Arial"/>
      <family val="2"/>
    </font>
    <font>
      <sz val="20"/>
      <name val="Arial"/>
      <family val="2"/>
    </font>
    <font>
      <b/>
      <sz val="11"/>
      <color rgb="FFFF0000"/>
      <name val="Calibri"/>
      <family val="2"/>
      <scheme val="minor"/>
    </font>
    <font>
      <b/>
      <sz val="16"/>
      <color theme="0"/>
      <name val="Calibri"/>
      <family val="2"/>
      <scheme val="minor"/>
    </font>
    <font>
      <sz val="18"/>
      <color theme="0"/>
      <name val="Calibri"/>
      <family val="2"/>
      <scheme val="minor"/>
    </font>
    <font>
      <b/>
      <u/>
      <sz val="11"/>
      <color theme="0"/>
      <name val="Calibri"/>
      <family val="2"/>
      <scheme val="minor"/>
    </font>
    <font>
      <b/>
      <u/>
      <sz val="11"/>
      <color theme="1"/>
      <name val="Calibri"/>
      <family val="2"/>
      <scheme val="minor"/>
    </font>
    <font>
      <sz val="10"/>
      <color theme="0"/>
      <name val="Arial"/>
      <family val="2"/>
    </font>
    <font>
      <sz val="12"/>
      <color theme="0"/>
      <name val="Calibri"/>
      <family val="2"/>
      <scheme val="minor"/>
    </font>
    <font>
      <sz val="12"/>
      <color theme="6" tint="0.39997558519241921"/>
      <name val="Arial"/>
      <family val="2"/>
    </font>
    <font>
      <u/>
      <sz val="10"/>
      <color theme="10"/>
      <name val="Arial"/>
      <family val="2"/>
    </font>
    <font>
      <b/>
      <sz val="10"/>
      <color rgb="FF0070C0"/>
      <name val="Arial"/>
      <family val="2"/>
    </font>
    <font>
      <b/>
      <sz val="11"/>
      <color rgb="FF9C6500"/>
      <name val="Calibri"/>
      <family val="2"/>
      <scheme val="minor"/>
    </font>
    <font>
      <b/>
      <sz val="11"/>
      <color rgb="FF0066FF"/>
      <name val="Arial"/>
      <family val="2"/>
    </font>
    <font>
      <i/>
      <u/>
      <sz val="11"/>
      <color theme="1"/>
      <name val="Calibri"/>
      <family val="2"/>
      <scheme val="minor"/>
    </font>
    <font>
      <u/>
      <sz val="11"/>
      <color theme="10"/>
      <name val="Calibri"/>
      <family val="2"/>
      <scheme val="minor"/>
    </font>
    <font>
      <sz val="11"/>
      <name val="Calibri"/>
      <family val="2"/>
      <scheme val="minor"/>
    </font>
    <font>
      <b/>
      <sz val="11"/>
      <color theme="2" tint="-0.89999084444715716"/>
      <name val="Calibri"/>
      <family val="2"/>
      <scheme val="minor"/>
    </font>
    <font>
      <b/>
      <u val="double"/>
      <sz val="11"/>
      <color theme="2" tint="-0.89999084444715716"/>
      <name val="Calibri"/>
      <family val="2"/>
      <scheme val="minor"/>
    </font>
    <font>
      <sz val="10"/>
      <color rgb="FF0070C0"/>
      <name val="Arial"/>
      <family val="2"/>
    </font>
    <font>
      <b/>
      <u/>
      <sz val="10"/>
      <color rgb="FF0070C0"/>
      <name val="Arial"/>
      <family val="2"/>
    </font>
    <font>
      <u/>
      <sz val="10"/>
      <color rgb="FFFF0000"/>
      <name val="Arial"/>
      <family val="2"/>
    </font>
  </fonts>
  <fills count="36">
    <fill>
      <patternFill patternType="none"/>
    </fill>
    <fill>
      <patternFill patternType="gray125"/>
    </fill>
    <fill>
      <patternFill patternType="solid">
        <fgColor rgb="FFFFC7CE"/>
      </patternFill>
    </fill>
    <fill>
      <patternFill patternType="solid">
        <fgColor rgb="FFF2F2F2"/>
      </patternFill>
    </fill>
    <fill>
      <patternFill patternType="solid">
        <fgColor theme="5"/>
      </patternFill>
    </fill>
    <fill>
      <patternFill patternType="solid">
        <fgColor theme="9" tint="0.79998168889431442"/>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4"/>
      </patternFill>
    </fill>
    <fill>
      <patternFill patternType="solid">
        <fgColor theme="4"/>
        <bgColor indexed="64"/>
      </patternFill>
    </fill>
    <fill>
      <patternFill patternType="solid">
        <fgColor rgb="FFF2F2F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39997558519241921"/>
        <bgColor indexed="65"/>
      </patternFill>
    </fill>
    <fill>
      <patternFill patternType="solid">
        <fgColor theme="5" tint="0.59999389629810485"/>
        <bgColor indexed="64"/>
      </patternFill>
    </fill>
    <fill>
      <patternFill patternType="solid">
        <fgColor theme="0"/>
        <bgColor indexed="64"/>
      </patternFill>
    </fill>
    <fill>
      <patternFill patternType="solid">
        <fgColor rgb="FFFFEB9C"/>
      </patternFill>
    </fill>
    <fill>
      <patternFill patternType="solid">
        <fgColor theme="4" tint="0.59999389629810485"/>
        <bgColor indexed="65"/>
      </patternFill>
    </fill>
    <fill>
      <patternFill patternType="solid">
        <fgColor theme="6" tint="0.39997558519241921"/>
        <bgColor indexed="64"/>
      </patternFill>
    </fill>
    <fill>
      <patternFill patternType="solid">
        <fgColor rgb="FFC6EFCE"/>
      </patternFill>
    </fill>
    <fill>
      <patternFill patternType="solid">
        <fgColor rgb="FFFFCC99"/>
      </patternFill>
    </fill>
    <fill>
      <patternFill patternType="solid">
        <fgColor theme="8" tint="0.39997558519241921"/>
        <bgColor indexed="65"/>
      </patternFill>
    </fill>
    <fill>
      <patternFill patternType="solid">
        <fgColor theme="9" tint="0.59999389629810485"/>
        <bgColor indexed="65"/>
      </patternFill>
    </fill>
    <fill>
      <patternFill patternType="solid">
        <fgColor rgb="FF87DD97"/>
        <bgColor indexed="64"/>
      </patternFill>
    </fill>
    <fill>
      <patternFill patternType="solid">
        <fgColor theme="3" tint="0.79998168889431442"/>
        <bgColor indexed="64"/>
      </patternFill>
    </fill>
    <fill>
      <patternFill patternType="solid">
        <fgColor theme="9"/>
        <bgColor indexed="64"/>
      </patternFill>
    </fill>
    <fill>
      <patternFill patternType="solid">
        <fgColor theme="0" tint="-0.14999847407452621"/>
        <bgColor indexed="64"/>
      </patternFill>
    </fill>
    <fill>
      <patternFill patternType="solid">
        <fgColor theme="8" tint="0.59999389629810485"/>
        <bgColor indexed="65"/>
      </patternFill>
    </fill>
    <fill>
      <patternFill patternType="solid">
        <fgColor rgb="FFFFD72D"/>
        <bgColor indexed="64"/>
      </patternFill>
    </fill>
    <fill>
      <patternFill patternType="solid">
        <fgColor rgb="FFFFEB9C"/>
        <bgColor indexed="64"/>
      </patternFill>
    </fill>
    <fill>
      <patternFill patternType="solid">
        <fgColor theme="0" tint="-4.9989318521683403E-2"/>
        <bgColor indexed="64"/>
      </patternFill>
    </fill>
    <fill>
      <patternFill patternType="solid">
        <fgColor theme="5" tint="0.59999389629810485"/>
        <bgColor indexed="65"/>
      </patternFill>
    </fill>
    <fill>
      <patternFill patternType="solid">
        <fgColor theme="7" tint="0.59999389629810485"/>
        <bgColor indexed="65"/>
      </patternFill>
    </fill>
    <fill>
      <patternFill patternType="solid">
        <fgColor rgb="FF002060"/>
        <bgColor indexed="64"/>
      </patternFill>
    </fill>
    <fill>
      <patternFill patternType="solid">
        <fgColor rgb="FF00B050"/>
        <bgColor indexed="64"/>
      </patternFill>
    </fill>
    <fill>
      <patternFill patternType="solid">
        <fgColor theme="6"/>
      </patternFill>
    </fill>
  </fills>
  <borders count="62">
    <border>
      <left/>
      <right/>
      <top/>
      <bottom/>
      <diagonal/>
    </border>
    <border>
      <left style="hair">
        <color auto="1"/>
      </left>
      <right style="hair">
        <color auto="1"/>
      </right>
      <top style="hair">
        <color auto="1"/>
      </top>
      <bottom style="hair">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hair">
        <color rgb="FF3F3F3F"/>
      </left>
      <right style="hair">
        <color rgb="FF3F3F3F"/>
      </right>
      <top style="hair">
        <color rgb="FF3F3F3F"/>
      </top>
      <bottom style="hair">
        <color rgb="FF3F3F3F"/>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rgb="FF7F7F7F"/>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7F7F7F"/>
      </left>
      <right style="thin">
        <color rgb="FF7F7F7F"/>
      </right>
      <top style="thin">
        <color rgb="FF7F7F7F"/>
      </top>
      <bottom/>
      <diagonal/>
    </border>
    <border>
      <left/>
      <right/>
      <top style="thin">
        <color rgb="FF3F3F3F"/>
      </top>
      <bottom style="thin">
        <color rgb="FF3F3F3F"/>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style="hair">
        <color auto="1"/>
      </left>
      <right style="hair">
        <color auto="1"/>
      </right>
      <top style="hair">
        <color auto="1"/>
      </top>
      <bottom/>
      <diagonal/>
    </border>
    <border>
      <left style="thin">
        <color indexed="64"/>
      </left>
      <right style="thin">
        <color indexed="64"/>
      </right>
      <top style="thin">
        <color indexed="64"/>
      </top>
      <bottom style="thick">
        <color rgb="FFFF0000"/>
      </bottom>
      <diagonal/>
    </border>
    <border>
      <left style="thin">
        <color indexed="64"/>
      </left>
      <right style="thin">
        <color indexed="64"/>
      </right>
      <top style="thin">
        <color indexed="64"/>
      </top>
      <bottom/>
      <diagonal/>
    </border>
    <border>
      <left style="thin">
        <color rgb="FF7F7F7F"/>
      </left>
      <right/>
      <top/>
      <bottom/>
      <diagonal/>
    </border>
    <border>
      <left/>
      <right style="thin">
        <color rgb="FF7F7F7F"/>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style="thin">
        <color rgb="FF3F3F3F"/>
      </right>
      <top style="thin">
        <color rgb="FF3F3F3F"/>
      </top>
      <bottom/>
      <diagonal/>
    </border>
    <border>
      <left style="medium">
        <color rgb="FFFF0000"/>
      </left>
      <right style="medium">
        <color rgb="FFFF0000"/>
      </right>
      <top style="medium">
        <color rgb="FFFF0000"/>
      </top>
      <bottom/>
      <diagonal/>
    </border>
    <border>
      <left style="medium">
        <color rgb="FFFF0000"/>
      </left>
      <right style="medium">
        <color rgb="FFFF0000"/>
      </right>
      <top style="hair">
        <color auto="1"/>
      </top>
      <bottom style="hair">
        <color auto="1"/>
      </bottom>
      <diagonal/>
    </border>
    <border>
      <left style="medium">
        <color rgb="FFFF0000"/>
      </left>
      <right style="medium">
        <color rgb="FFFF0000"/>
      </right>
      <top/>
      <bottom/>
      <diagonal/>
    </border>
    <border>
      <left style="medium">
        <color rgb="FFFF0000"/>
      </left>
      <right style="medium">
        <color rgb="FFFF0000"/>
      </right>
      <top style="hair">
        <color auto="1"/>
      </top>
      <bottom style="medium">
        <color rgb="FFFF0000"/>
      </bottom>
      <diagonal/>
    </border>
  </borders>
  <cellStyleXfs count="26">
    <xf numFmtId="0" fontId="0" fillId="0" borderId="0"/>
    <xf numFmtId="44" fontId="11" fillId="0" borderId="0" applyFont="0" applyFill="0" applyBorder="0" applyAlignment="0" applyProtection="0"/>
    <xf numFmtId="0" fontId="12" fillId="2" borderId="0" applyNumberFormat="0" applyBorder="0" applyAlignment="0" applyProtection="0"/>
    <xf numFmtId="0" fontId="13" fillId="3" borderId="3" applyNumberFormat="0" applyAlignment="0" applyProtection="0"/>
    <xf numFmtId="0" fontId="14" fillId="3" borderId="2" applyNumberFormat="0" applyAlignment="0" applyProtection="0"/>
    <xf numFmtId="14" fontId="15" fillId="0" borderId="4">
      <alignment vertical="center"/>
    </xf>
    <xf numFmtId="0" fontId="20" fillId="4" borderId="0" applyNumberFormat="0" applyBorder="0" applyAlignment="0" applyProtection="0"/>
    <xf numFmtId="0" fontId="10" fillId="5" borderId="0" applyNumberFormat="0" applyBorder="0" applyAlignment="0" applyProtection="0"/>
    <xf numFmtId="0" fontId="9" fillId="6" borderId="0" applyNumberFormat="0" applyBorder="0" applyAlignment="0" applyProtection="0"/>
    <xf numFmtId="0" fontId="20" fillId="8" borderId="0" applyNumberFormat="0" applyBorder="0" applyAlignment="0" applyProtection="0"/>
    <xf numFmtId="9" fontId="11" fillId="0" borderId="0" applyFont="0" applyFill="0" applyBorder="0" applyAlignment="0" applyProtection="0"/>
    <xf numFmtId="0" fontId="8" fillId="13" borderId="0" applyNumberFormat="0" applyBorder="0" applyAlignment="0" applyProtection="0"/>
    <xf numFmtId="44" fontId="11" fillId="0" borderId="0" applyFont="0" applyFill="0" applyBorder="0" applyAlignment="0" applyProtection="0"/>
    <xf numFmtId="0" fontId="45" fillId="16" borderId="0" applyNumberFormat="0" applyBorder="0" applyAlignment="0" applyProtection="0"/>
    <xf numFmtId="0" fontId="7" fillId="17" borderId="0" applyNumberFormat="0" applyBorder="0" applyAlignment="0" applyProtection="0"/>
    <xf numFmtId="0" fontId="51" fillId="19" borderId="0" applyNumberFormat="0" applyBorder="0" applyAlignment="0" applyProtection="0"/>
    <xf numFmtId="0" fontId="53" fillId="20" borderId="2" applyNumberFormat="0" applyAlignment="0" applyProtection="0"/>
    <xf numFmtId="0" fontId="6" fillId="21" borderId="0" applyNumberFormat="0" applyBorder="0" applyAlignment="0" applyProtection="0"/>
    <xf numFmtId="0" fontId="6" fillId="22" borderId="0" applyNumberFormat="0" applyBorder="0" applyAlignment="0" applyProtection="0"/>
    <xf numFmtId="0" fontId="67" fillId="0" borderId="0" applyNumberFormat="0" applyFill="0" applyBorder="0" applyAlignment="0" applyProtection="0"/>
    <xf numFmtId="0" fontId="5" fillId="27" borderId="0" applyNumberFormat="0" applyBorder="0" applyAlignment="0" applyProtection="0"/>
    <xf numFmtId="0" fontId="4" fillId="31" borderId="0" applyNumberFormat="0" applyBorder="0" applyAlignment="0" applyProtection="0"/>
    <xf numFmtId="0" fontId="3" fillId="32" borderId="0" applyNumberFormat="0" applyBorder="0" applyAlignment="0" applyProtection="0"/>
    <xf numFmtId="0" fontId="2" fillId="0" borderId="0"/>
    <xf numFmtId="0" fontId="72" fillId="0" borderId="0" applyNumberFormat="0" applyFill="0" applyBorder="0" applyAlignment="0" applyProtection="0"/>
    <xf numFmtId="0" fontId="20" fillId="35" borderId="0" applyNumberFormat="0" applyBorder="0" applyAlignment="0" applyProtection="0"/>
  </cellStyleXfs>
  <cellXfs count="490">
    <xf numFmtId="0" fontId="0" fillId="0" borderId="0" xfId="0"/>
    <xf numFmtId="0" fontId="23" fillId="8" borderId="2" xfId="9" applyFont="1" applyBorder="1" applyAlignment="1" applyProtection="1">
      <alignment horizontal="center"/>
      <protection locked="0"/>
    </xf>
    <xf numFmtId="166" fontId="23" fillId="8" borderId="2" xfId="9" applyNumberFormat="1" applyFont="1" applyBorder="1" applyAlignment="1" applyProtection="1">
      <alignment horizontal="center"/>
      <protection locked="0"/>
    </xf>
    <xf numFmtId="165" fontId="23" fillId="8" borderId="2" xfId="9" applyNumberFormat="1" applyFont="1" applyBorder="1" applyAlignment="1" applyProtection="1">
      <alignment horizontal="center"/>
      <protection locked="0"/>
    </xf>
    <xf numFmtId="167" fontId="23" fillId="8" borderId="2" xfId="9" applyNumberFormat="1" applyFont="1" applyBorder="1" applyAlignment="1" applyProtection="1">
      <alignment horizontal="center"/>
      <protection locked="0"/>
    </xf>
    <xf numFmtId="0" fontId="20" fillId="8" borderId="3" xfId="9" applyBorder="1" applyAlignment="1" applyProtection="1">
      <alignment horizontal="center"/>
      <protection locked="0"/>
    </xf>
    <xf numFmtId="166" fontId="23" fillId="9" borderId="2" xfId="9" applyNumberFormat="1" applyFont="1" applyFill="1" applyBorder="1" applyAlignment="1" applyProtection="1">
      <alignment horizontal="center"/>
      <protection locked="0"/>
    </xf>
    <xf numFmtId="167" fontId="27" fillId="9" borderId="1" xfId="10" applyNumberFormat="1" applyFont="1" applyFill="1" applyBorder="1" applyAlignment="1" applyProtection="1">
      <alignment horizontal="center"/>
      <protection locked="0"/>
    </xf>
    <xf numFmtId="0" fontId="16" fillId="0" borderId="0" xfId="0" applyFont="1" applyProtection="1"/>
    <xf numFmtId="0" fontId="16" fillId="0" borderId="0" xfId="0" applyFont="1" applyAlignment="1" applyProtection="1">
      <alignment horizontal="center"/>
    </xf>
    <xf numFmtId="164" fontId="16" fillId="0" borderId="7" xfId="0" applyNumberFormat="1" applyFont="1" applyBorder="1" applyProtection="1"/>
    <xf numFmtId="0" fontId="16" fillId="0" borderId="1" xfId="0" applyFont="1" applyBorder="1" applyProtection="1"/>
    <xf numFmtId="164" fontId="16" fillId="0" borderId="1" xfId="0" applyNumberFormat="1" applyFont="1" applyBorder="1" applyProtection="1"/>
    <xf numFmtId="0" fontId="16" fillId="0" borderId="1" xfId="0" applyFont="1" applyBorder="1" applyAlignment="1" applyProtection="1">
      <alignment horizontal="center"/>
    </xf>
    <xf numFmtId="0" fontId="16" fillId="0" borderId="1" xfId="0" applyFont="1" applyBorder="1" applyAlignment="1" applyProtection="1">
      <alignment horizontal="right"/>
    </xf>
    <xf numFmtId="164" fontId="17" fillId="0" borderId="1" xfId="0" applyNumberFormat="1" applyFont="1" applyBorder="1" applyProtection="1"/>
    <xf numFmtId="0" fontId="18" fillId="0" borderId="1" xfId="0" applyFont="1" applyBorder="1" applyAlignment="1" applyProtection="1">
      <alignment horizontal="right" vertical="center"/>
    </xf>
    <xf numFmtId="0" fontId="18" fillId="0" borderId="1" xfId="0" applyFont="1" applyBorder="1" applyAlignment="1" applyProtection="1">
      <alignment horizontal="right"/>
    </xf>
    <xf numFmtId="164" fontId="18" fillId="0" borderId="1" xfId="0" applyNumberFormat="1" applyFont="1" applyBorder="1" applyProtection="1"/>
    <xf numFmtId="0" fontId="16" fillId="0" borderId="0" xfId="0" applyFont="1" applyAlignment="1" applyProtection="1">
      <alignment horizontal="right"/>
    </xf>
    <xf numFmtId="164" fontId="16" fillId="0" borderId="0" xfId="0" applyNumberFormat="1" applyFont="1" applyProtection="1"/>
    <xf numFmtId="166" fontId="16" fillId="0" borderId="1" xfId="0" applyNumberFormat="1" applyFont="1" applyBorder="1" applyAlignment="1" applyProtection="1">
      <alignment horizontal="center"/>
    </xf>
    <xf numFmtId="164" fontId="17" fillId="0" borderId="1" xfId="0" applyNumberFormat="1" applyFont="1" applyFill="1" applyBorder="1" applyProtection="1"/>
    <xf numFmtId="164" fontId="19" fillId="0" borderId="1" xfId="0" applyNumberFormat="1" applyFont="1" applyBorder="1" applyProtection="1"/>
    <xf numFmtId="0" fontId="16" fillId="0" borderId="0" xfId="0" applyFont="1" applyAlignment="1" applyProtection="1">
      <alignment vertical="top" wrapText="1"/>
    </xf>
    <xf numFmtId="0" fontId="28" fillId="9" borderId="3" xfId="3" applyFont="1" applyFill="1" applyAlignment="1" applyProtection="1">
      <alignment vertical="top" wrapText="1"/>
    </xf>
    <xf numFmtId="0" fontId="18" fillId="0" borderId="1" xfId="0" applyFont="1" applyBorder="1" applyAlignment="1" applyProtection="1">
      <alignment horizontal="center"/>
    </xf>
    <xf numFmtId="0" fontId="24" fillId="3" borderId="2" xfId="4" applyFont="1" applyBorder="1" applyAlignment="1" applyProtection="1">
      <alignment horizontal="center"/>
    </xf>
    <xf numFmtId="0" fontId="24" fillId="3" borderId="2" xfId="4" applyFont="1" applyAlignment="1" applyProtection="1">
      <alignment horizontal="center"/>
    </xf>
    <xf numFmtId="166" fontId="24" fillId="3" borderId="2" xfId="4" applyNumberFormat="1" applyFont="1" applyBorder="1" applyAlignment="1" applyProtection="1">
      <alignment horizontal="center"/>
    </xf>
    <xf numFmtId="0" fontId="24" fillId="3" borderId="2" xfId="4" applyFont="1" applyBorder="1" applyProtection="1"/>
    <xf numFmtId="165" fontId="24" fillId="3" borderId="2" xfId="4" applyNumberFormat="1" applyFont="1" applyBorder="1" applyAlignment="1" applyProtection="1">
      <alignment horizontal="center"/>
    </xf>
    <xf numFmtId="164" fontId="17" fillId="0" borderId="0" xfId="0" applyNumberFormat="1" applyFont="1" applyProtection="1"/>
    <xf numFmtId="0" fontId="16" fillId="0" borderId="1" xfId="2" applyFont="1" applyFill="1" applyBorder="1" applyAlignment="1" applyProtection="1">
      <alignment horizontal="right"/>
    </xf>
    <xf numFmtId="164" fontId="16" fillId="0" borderId="1" xfId="2" applyNumberFormat="1" applyFont="1" applyFill="1" applyBorder="1" applyProtection="1"/>
    <xf numFmtId="0" fontId="16" fillId="0" borderId="0" xfId="0" applyFont="1" applyFill="1" applyProtection="1"/>
    <xf numFmtId="164" fontId="18" fillId="0" borderId="1" xfId="0" applyNumberFormat="1" applyFont="1" applyBorder="1" applyAlignment="1" applyProtection="1">
      <alignment horizontal="right"/>
    </xf>
    <xf numFmtId="167" fontId="24" fillId="3" borderId="2" xfId="10" applyNumberFormat="1" applyFont="1" applyFill="1" applyBorder="1" applyAlignment="1" applyProtection="1">
      <alignment horizontal="center"/>
    </xf>
    <xf numFmtId="0" fontId="16" fillId="0" borderId="0" xfId="0" applyFont="1" applyAlignment="1" applyProtection="1"/>
    <xf numFmtId="0" fontId="18" fillId="0" borderId="0" xfId="0" applyFont="1" applyAlignment="1" applyProtection="1">
      <alignment vertical="top"/>
    </xf>
    <xf numFmtId="0" fontId="22" fillId="0" borderId="0" xfId="8" applyFont="1" applyFill="1" applyAlignment="1" applyProtection="1">
      <alignment vertical="top" wrapText="1"/>
    </xf>
    <xf numFmtId="0" fontId="0" fillId="14" borderId="0" xfId="0" applyFill="1"/>
    <xf numFmtId="0" fontId="0" fillId="14" borderId="0" xfId="0" applyFill="1" applyAlignment="1">
      <alignment horizontal="right"/>
    </xf>
    <xf numFmtId="0" fontId="0" fillId="12" borderId="0" xfId="0" applyFill="1"/>
    <xf numFmtId="0" fontId="0" fillId="12" borderId="0" xfId="0" applyFill="1" applyAlignment="1">
      <alignment horizontal="right"/>
    </xf>
    <xf numFmtId="0" fontId="31" fillId="12" borderId="0" xfId="0" applyFont="1" applyFill="1"/>
    <xf numFmtId="0" fontId="0" fillId="12" borderId="0" xfId="0" applyFill="1" applyBorder="1" applyAlignment="1">
      <alignment horizontal="right" vertical="center"/>
    </xf>
    <xf numFmtId="0" fontId="0" fillId="12" borderId="0" xfId="0" applyFill="1" applyAlignment="1">
      <alignment horizontal="left" wrapText="1"/>
    </xf>
    <xf numFmtId="0" fontId="0" fillId="12" borderId="0" xfId="0" applyFill="1" applyAlignment="1">
      <alignment vertical="center"/>
    </xf>
    <xf numFmtId="167" fontId="32" fillId="12" borderId="4" xfId="10" applyNumberFormat="1" applyFont="1" applyFill="1" applyBorder="1" applyAlignment="1">
      <alignment horizontal="center" vertical="center"/>
    </xf>
    <xf numFmtId="0" fontId="0" fillId="11" borderId="0" xfId="0" applyFill="1"/>
    <xf numFmtId="0" fontId="0" fillId="11" borderId="0" xfId="0" applyFill="1" applyAlignment="1">
      <alignment horizontal="right"/>
    </xf>
    <xf numFmtId="0" fontId="31" fillId="11" borderId="0" xfId="0" applyFont="1" applyFill="1"/>
    <xf numFmtId="0" fontId="0" fillId="11" borderId="0" xfId="0" applyFill="1" applyBorder="1" applyAlignment="1">
      <alignment horizontal="right" vertical="center"/>
    </xf>
    <xf numFmtId="0" fontId="0" fillId="11" borderId="0" xfId="0" applyFill="1" applyAlignment="1">
      <alignment horizontal="left" wrapText="1"/>
    </xf>
    <xf numFmtId="0" fontId="0" fillId="11" borderId="0" xfId="0" applyFill="1" applyAlignment="1">
      <alignment vertical="center"/>
    </xf>
    <xf numFmtId="167" fontId="32" fillId="11" borderId="4" xfId="10" applyNumberFormat="1" applyFont="1" applyFill="1" applyBorder="1" applyAlignment="1">
      <alignment horizontal="center" vertical="center"/>
    </xf>
    <xf numFmtId="0" fontId="0" fillId="12" borderId="0" xfId="0" applyFill="1" applyAlignment="1">
      <alignment horizontal="right" vertical="center"/>
    </xf>
    <xf numFmtId="0" fontId="0" fillId="11" borderId="0" xfId="0" applyFill="1" applyAlignment="1">
      <alignment horizontal="right" vertical="center"/>
    </xf>
    <xf numFmtId="1" fontId="0" fillId="12" borderId="0" xfId="0" applyNumberFormat="1" applyFill="1" applyAlignment="1">
      <alignment horizontal="center"/>
    </xf>
    <xf numFmtId="1" fontId="0" fillId="11" borderId="0" xfId="0" applyNumberFormat="1" applyFill="1" applyAlignment="1">
      <alignment horizontal="center"/>
    </xf>
    <xf numFmtId="0" fontId="0" fillId="11" borderId="0" xfId="0" applyFill="1" applyAlignment="1">
      <alignment wrapText="1"/>
    </xf>
    <xf numFmtId="0" fontId="0" fillId="12" borderId="0" xfId="0" applyFont="1" applyFill="1" applyBorder="1" applyAlignment="1">
      <alignment horizontal="right" vertical="center"/>
    </xf>
    <xf numFmtId="0" fontId="0" fillId="12" borderId="0" xfId="0" applyFill="1" applyAlignment="1">
      <alignment wrapText="1"/>
    </xf>
    <xf numFmtId="0" fontId="0" fillId="11" borderId="0" xfId="0" applyFont="1" applyFill="1" applyBorder="1" applyAlignment="1">
      <alignment horizontal="right" vertical="center"/>
    </xf>
    <xf numFmtId="167" fontId="20" fillId="8" borderId="0" xfId="9" applyNumberFormat="1" applyAlignment="1" applyProtection="1">
      <alignment horizontal="center" vertical="center"/>
      <protection locked="0"/>
    </xf>
    <xf numFmtId="0" fontId="0" fillId="12" borderId="0" xfId="0" applyFill="1" applyAlignment="1">
      <alignment horizontal="right" vertical="center" wrapText="1"/>
    </xf>
    <xf numFmtId="0" fontId="0" fillId="11" borderId="0" xfId="0" applyFill="1" applyAlignment="1">
      <alignment horizontal="right" vertical="center" wrapText="1"/>
    </xf>
    <xf numFmtId="0" fontId="39" fillId="12" borderId="0" xfId="0" applyFont="1" applyFill="1" applyAlignment="1">
      <alignment horizontal="right" vertical="center"/>
    </xf>
    <xf numFmtId="166" fontId="39" fillId="12" borderId="0" xfId="0" applyNumberFormat="1" applyFont="1" applyFill="1" applyAlignment="1">
      <alignment vertical="center"/>
    </xf>
    <xf numFmtId="0" fontId="39" fillId="12" borderId="0" xfId="0" applyFont="1" applyFill="1" applyAlignment="1">
      <alignment vertical="center"/>
    </xf>
    <xf numFmtId="0" fontId="40" fillId="11" borderId="0" xfId="0" applyFont="1" applyFill="1" applyAlignment="1">
      <alignment horizontal="right" vertical="center"/>
    </xf>
    <xf numFmtId="166" fontId="40" fillId="11" borderId="0" xfId="0" applyNumberFormat="1" applyFont="1" applyFill="1" applyAlignment="1">
      <alignment vertical="center"/>
    </xf>
    <xf numFmtId="0" fontId="40" fillId="11" borderId="0" xfId="0" applyFont="1" applyFill="1" applyAlignment="1">
      <alignment vertical="center"/>
    </xf>
    <xf numFmtId="0" fontId="0" fillId="0" borderId="0" xfId="0" applyAlignment="1">
      <alignment vertical="center"/>
    </xf>
    <xf numFmtId="166" fontId="32" fillId="12" borderId="4" xfId="0" applyNumberFormat="1" applyFont="1" applyFill="1" applyBorder="1" applyAlignment="1">
      <alignment vertical="center"/>
    </xf>
    <xf numFmtId="166" fontId="32" fillId="11" borderId="4" xfId="0" applyNumberFormat="1" applyFont="1" applyFill="1" applyBorder="1" applyAlignment="1">
      <alignment vertical="center"/>
    </xf>
    <xf numFmtId="0" fontId="39" fillId="12" borderId="0" xfId="0" applyFont="1" applyFill="1" applyAlignment="1">
      <alignment horizontal="right"/>
    </xf>
    <xf numFmtId="0" fontId="41" fillId="12" borderId="24" xfId="4" applyFont="1" applyFill="1" applyBorder="1" applyAlignment="1">
      <alignment horizontal="center"/>
    </xf>
    <xf numFmtId="166" fontId="41" fillId="12" borderId="17" xfId="4" applyNumberFormat="1" applyFont="1" applyFill="1" applyBorder="1" applyAlignment="1">
      <alignment horizontal="center"/>
    </xf>
    <xf numFmtId="0" fontId="41" fillId="12" borderId="21" xfId="9" applyFont="1" applyFill="1" applyBorder="1" applyAlignment="1" applyProtection="1">
      <alignment horizontal="center"/>
    </xf>
    <xf numFmtId="0" fontId="40" fillId="11" borderId="0" xfId="0" applyFont="1" applyFill="1" applyAlignment="1">
      <alignment horizontal="right"/>
    </xf>
    <xf numFmtId="0" fontId="42" fillId="11" borderId="21" xfId="9" applyFont="1" applyFill="1" applyBorder="1" applyAlignment="1" applyProtection="1">
      <alignment horizontal="center"/>
    </xf>
    <xf numFmtId="0" fontId="42" fillId="11" borderId="24" xfId="4" applyFont="1" applyFill="1" applyBorder="1" applyAlignment="1">
      <alignment horizontal="center"/>
    </xf>
    <xf numFmtId="166" fontId="42" fillId="11" borderId="17" xfId="4" applyNumberFormat="1" applyFont="1" applyFill="1" applyBorder="1" applyAlignment="1">
      <alignment horizontal="center"/>
    </xf>
    <xf numFmtId="9" fontId="18" fillId="0" borderId="1" xfId="10" applyFont="1" applyBorder="1" applyAlignment="1" applyProtection="1">
      <alignment horizontal="center"/>
    </xf>
    <xf numFmtId="0" fontId="24" fillId="3" borderId="2" xfId="4" applyFont="1" applyBorder="1" applyAlignment="1" applyProtection="1"/>
    <xf numFmtId="0" fontId="24" fillId="3" borderId="2" xfId="4" applyFont="1" applyBorder="1" applyAlignment="1" applyProtection="1">
      <alignment horizontal="right"/>
    </xf>
    <xf numFmtId="167" fontId="28" fillId="8" borderId="3" xfId="9" applyNumberFormat="1" applyFont="1" applyBorder="1" applyAlignment="1" applyProtection="1">
      <alignment horizontal="center"/>
      <protection locked="0"/>
    </xf>
    <xf numFmtId="167" fontId="27" fillId="8" borderId="1" xfId="9" applyNumberFormat="1" applyFont="1" applyBorder="1" applyAlignment="1" applyProtection="1">
      <alignment horizontal="center"/>
      <protection locked="0"/>
    </xf>
    <xf numFmtId="166" fontId="27" fillId="8" borderId="1" xfId="9" applyNumberFormat="1" applyFont="1" applyBorder="1" applyAlignment="1" applyProtection="1">
      <alignment horizontal="center"/>
      <protection locked="0"/>
    </xf>
    <xf numFmtId="0" fontId="16" fillId="0" borderId="6" xfId="0" applyFont="1" applyBorder="1" applyAlignment="1" applyProtection="1">
      <alignment horizontal="right"/>
    </xf>
    <xf numFmtId="0" fontId="44" fillId="3" borderId="2" xfId="4" applyFont="1" applyBorder="1" applyAlignment="1" applyProtection="1"/>
    <xf numFmtId="0" fontId="29" fillId="13" borderId="0" xfId="11" applyFont="1" applyAlignment="1" applyProtection="1">
      <alignment vertical="center" wrapText="1"/>
    </xf>
    <xf numFmtId="167" fontId="27" fillId="9" borderId="1" xfId="0" applyNumberFormat="1" applyFont="1" applyFill="1" applyBorder="1" applyAlignment="1" applyProtection="1">
      <alignment horizontal="center"/>
      <protection locked="0"/>
    </xf>
    <xf numFmtId="0" fontId="16" fillId="0" borderId="0" xfId="0" applyFont="1" applyAlignment="1" applyProtection="1">
      <alignment horizontal="left" vertical="top" wrapText="1"/>
    </xf>
    <xf numFmtId="9" fontId="23" fillId="9" borderId="2" xfId="10" applyFont="1" applyFill="1" applyBorder="1" applyAlignment="1" applyProtection="1">
      <alignment horizontal="center"/>
    </xf>
    <xf numFmtId="168" fontId="23" fillId="9" borderId="2" xfId="9" applyNumberFormat="1" applyFont="1" applyFill="1" applyBorder="1" applyAlignment="1" applyProtection="1">
      <alignment horizontal="center"/>
      <protection locked="0"/>
    </xf>
    <xf numFmtId="0" fontId="22" fillId="13" borderId="0" xfId="11" applyFont="1" applyAlignment="1" applyProtection="1">
      <alignment vertical="center"/>
    </xf>
    <xf numFmtId="9" fontId="16" fillId="0" borderId="0" xfId="10" applyFont="1" applyAlignment="1" applyProtection="1">
      <alignment horizontal="center"/>
    </xf>
    <xf numFmtId="0" fontId="45" fillId="16" borderId="0" xfId="13"/>
    <xf numFmtId="0" fontId="16" fillId="10" borderId="23" xfId="0" applyFont="1" applyFill="1" applyBorder="1" applyAlignment="1" applyProtection="1">
      <alignment horizontal="center" wrapText="1"/>
    </xf>
    <xf numFmtId="0" fontId="24" fillId="10" borderId="2" xfId="4" applyFont="1" applyFill="1" applyBorder="1" applyAlignment="1" applyProtection="1">
      <alignment horizontal="center"/>
    </xf>
    <xf numFmtId="166" fontId="24" fillId="10" borderId="2" xfId="4" applyNumberFormat="1" applyFont="1" applyFill="1" applyBorder="1" applyAlignment="1" applyProtection="1">
      <alignment horizontal="center"/>
    </xf>
    <xf numFmtId="20" fontId="7" fillId="17" borderId="4" xfId="14" applyNumberFormat="1" applyBorder="1"/>
    <xf numFmtId="20" fontId="0" fillId="0" borderId="4" xfId="0" applyNumberFormat="1" applyBorder="1"/>
    <xf numFmtId="20" fontId="7" fillId="17" borderId="26" xfId="14" applyNumberFormat="1" applyBorder="1"/>
    <xf numFmtId="0" fontId="0" fillId="0" borderId="0" xfId="0" applyBorder="1"/>
    <xf numFmtId="0" fontId="0" fillId="0" borderId="0" xfId="0" applyBorder="1" applyAlignment="1">
      <alignment horizontal="center"/>
    </xf>
    <xf numFmtId="167" fontId="16" fillId="0" borderId="1" xfId="9" applyNumberFormat="1" applyFont="1" applyFill="1" applyBorder="1" applyAlignment="1" applyProtection="1">
      <alignment horizontal="center"/>
    </xf>
    <xf numFmtId="167" fontId="16" fillId="0" borderId="1" xfId="10" applyNumberFormat="1" applyFont="1" applyFill="1" applyBorder="1" applyAlignment="1" applyProtection="1">
      <alignment horizontal="center"/>
    </xf>
    <xf numFmtId="167" fontId="16" fillId="0" borderId="1" xfId="0" applyNumberFormat="1" applyFont="1" applyFill="1" applyBorder="1" applyAlignment="1" applyProtection="1">
      <alignment horizontal="center"/>
    </xf>
    <xf numFmtId="1" fontId="0" fillId="11" borderId="0" xfId="0" applyNumberFormat="1" applyFont="1" applyFill="1" applyAlignment="1">
      <alignment horizontal="center" vertical="center"/>
    </xf>
    <xf numFmtId="0" fontId="0" fillId="11" borderId="0" xfId="0" applyFont="1" applyFill="1" applyAlignment="1">
      <alignment horizontal="right" vertical="center"/>
    </xf>
    <xf numFmtId="0" fontId="0" fillId="12" borderId="0" xfId="0" applyFont="1" applyFill="1" applyAlignment="1">
      <alignment horizontal="right" vertical="center"/>
    </xf>
    <xf numFmtId="1" fontId="0" fillId="12" borderId="0" xfId="0" applyNumberFormat="1" applyFont="1" applyFill="1" applyAlignment="1">
      <alignment horizontal="center" vertical="center"/>
    </xf>
    <xf numFmtId="167" fontId="16" fillId="15" borderId="1" xfId="9" applyNumberFormat="1" applyFont="1" applyFill="1" applyBorder="1" applyAlignment="1" applyProtection="1">
      <alignment horizontal="center"/>
    </xf>
    <xf numFmtId="0" fontId="48" fillId="0" borderId="0" xfId="0" applyFont="1"/>
    <xf numFmtId="166" fontId="49" fillId="16" borderId="0" xfId="13" applyNumberFormat="1" applyFont="1"/>
    <xf numFmtId="1" fontId="50" fillId="18" borderId="0" xfId="11" applyNumberFormat="1" applyFont="1" applyFill="1" applyAlignment="1" applyProtection="1">
      <alignment horizontal="left" vertical="center"/>
    </xf>
    <xf numFmtId="0" fontId="51" fillId="19" borderId="0" xfId="15"/>
    <xf numFmtId="166" fontId="51" fillId="19" borderId="0" xfId="15" applyNumberFormat="1"/>
    <xf numFmtId="0" fontId="51" fillId="19" borderId="25" xfId="15" applyBorder="1"/>
    <xf numFmtId="166" fontId="51" fillId="19" borderId="25" xfId="15" applyNumberFormat="1" applyBorder="1"/>
    <xf numFmtId="166" fontId="51" fillId="19" borderId="0" xfId="15" applyNumberFormat="1" applyBorder="1"/>
    <xf numFmtId="0" fontId="51" fillId="19" borderId="0" xfId="15" applyAlignment="1">
      <alignment horizontal="left"/>
    </xf>
    <xf numFmtId="167" fontId="51" fillId="19" borderId="0" xfId="15" applyNumberFormat="1" applyAlignment="1">
      <alignment horizontal="center"/>
    </xf>
    <xf numFmtId="0" fontId="51" fillId="19" borderId="0" xfId="15" applyAlignment="1">
      <alignment horizontal="right"/>
    </xf>
    <xf numFmtId="0" fontId="51" fillId="19" borderId="0" xfId="15" applyAlignment="1">
      <alignment horizontal="left" wrapText="1"/>
    </xf>
    <xf numFmtId="0" fontId="51" fillId="19" borderId="0" xfId="15" applyAlignment="1">
      <alignment horizontal="right"/>
    </xf>
    <xf numFmtId="0" fontId="51" fillId="19" borderId="0" xfId="15" applyAlignment="1">
      <alignment horizontal="left"/>
    </xf>
    <xf numFmtId="0" fontId="0" fillId="0" borderId="0" xfId="0" applyAlignment="1">
      <alignment horizontal="center"/>
    </xf>
    <xf numFmtId="0" fontId="0" fillId="0" borderId="0" xfId="0" applyAlignment="1">
      <alignment horizontal="left" vertical="top" wrapText="1"/>
    </xf>
    <xf numFmtId="0" fontId="55" fillId="19" borderId="0" xfId="15" applyFont="1"/>
    <xf numFmtId="0" fontId="56" fillId="16" borderId="0" xfId="13" applyFont="1" applyAlignment="1">
      <alignment horizontal="right"/>
    </xf>
    <xf numFmtId="0" fontId="56" fillId="16" borderId="0" xfId="13" applyFont="1" applyAlignment="1"/>
    <xf numFmtId="0" fontId="51" fillId="23" borderId="0" xfId="15" applyFill="1"/>
    <xf numFmtId="166" fontId="51" fillId="23" borderId="0" xfId="15" applyNumberFormat="1" applyFill="1"/>
    <xf numFmtId="0" fontId="51" fillId="19" borderId="0" xfId="15" applyFont="1" applyAlignment="1">
      <alignment wrapText="1"/>
    </xf>
    <xf numFmtId="170" fontId="24" fillId="3" borderId="2" xfId="4" applyNumberFormat="1" applyFont="1" applyBorder="1" applyAlignment="1" applyProtection="1">
      <alignment horizontal="center"/>
    </xf>
    <xf numFmtId="170" fontId="24" fillId="10" borderId="2" xfId="4" applyNumberFormat="1" applyFont="1" applyFill="1" applyBorder="1" applyAlignment="1" applyProtection="1">
      <alignment horizontal="center"/>
    </xf>
    <xf numFmtId="0" fontId="51" fillId="19" borderId="25" xfId="15" applyBorder="1" applyAlignment="1">
      <alignment horizontal="right"/>
    </xf>
    <xf numFmtId="0" fontId="0" fillId="0" borderId="0" xfId="0" applyFill="1"/>
    <xf numFmtId="165" fontId="17" fillId="0" borderId="0" xfId="0" applyNumberFormat="1" applyFont="1" applyAlignment="1" applyProtection="1">
      <alignment horizontal="center"/>
    </xf>
    <xf numFmtId="0" fontId="24" fillId="24" borderId="0" xfId="15" applyFont="1" applyFill="1"/>
    <xf numFmtId="0" fontId="59" fillId="16" borderId="0" xfId="13" applyFont="1"/>
    <xf numFmtId="0" fontId="59" fillId="16" borderId="0" xfId="13" applyFont="1" applyAlignment="1">
      <alignment horizontal="right"/>
    </xf>
    <xf numFmtId="0" fontId="48" fillId="12" borderId="0" xfId="0" applyFont="1" applyFill="1" applyAlignment="1">
      <alignment vertical="center" wrapText="1"/>
    </xf>
    <xf numFmtId="0" fontId="48" fillId="11" borderId="0" xfId="0" applyFont="1" applyFill="1" applyAlignment="1">
      <alignment vertical="center" wrapText="1"/>
    </xf>
    <xf numFmtId="166" fontId="0" fillId="0" borderId="0" xfId="0" applyNumberFormat="1"/>
    <xf numFmtId="0" fontId="20" fillId="4" borderId="0" xfId="6"/>
    <xf numFmtId="0" fontId="20" fillId="4" borderId="0" xfId="6" applyAlignment="1">
      <alignment horizontal="center"/>
    </xf>
    <xf numFmtId="0" fontId="20" fillId="4" borderId="0" xfId="6" applyBorder="1" applyAlignment="1">
      <alignment horizontal="right"/>
    </xf>
    <xf numFmtId="0" fontId="15" fillId="0" borderId="0" xfId="5" applyNumberFormat="1" applyBorder="1" applyAlignment="1"/>
    <xf numFmtId="0" fontId="45" fillId="16" borderId="31" xfId="13" applyNumberFormat="1" applyBorder="1" applyAlignment="1"/>
    <xf numFmtId="9" fontId="45" fillId="16" borderId="32" xfId="13" applyNumberFormat="1" applyBorder="1" applyAlignment="1">
      <alignment horizontal="center"/>
    </xf>
    <xf numFmtId="166" fontId="59" fillId="16" borderId="33" xfId="13" applyNumberFormat="1" applyFont="1" applyBorder="1" applyAlignment="1">
      <alignment horizontal="right"/>
    </xf>
    <xf numFmtId="0" fontId="59" fillId="16" borderId="0" xfId="13" applyNumberFormat="1" applyFont="1" applyBorder="1" applyAlignment="1">
      <alignment horizontal="center"/>
    </xf>
    <xf numFmtId="166" fontId="45" fillId="16" borderId="0" xfId="13" applyNumberFormat="1" applyBorder="1" applyAlignment="1">
      <alignment horizontal="left"/>
    </xf>
    <xf numFmtId="166" fontId="54" fillId="16" borderId="33" xfId="13" applyNumberFormat="1" applyFont="1" applyBorder="1" applyAlignment="1">
      <alignment horizontal="center" vertical="center"/>
    </xf>
    <xf numFmtId="0" fontId="59" fillId="16" borderId="0" xfId="13" applyFont="1" applyBorder="1" applyAlignment="1">
      <alignment horizontal="right"/>
    </xf>
    <xf numFmtId="14" fontId="59" fillId="16" borderId="0" xfId="13" applyNumberFormat="1" applyFont="1" applyBorder="1" applyAlignment="1">
      <alignment horizontal="center"/>
    </xf>
    <xf numFmtId="166" fontId="45" fillId="16" borderId="28" xfId="13" applyNumberFormat="1" applyBorder="1" applyAlignment="1">
      <alignment horizontal="left"/>
    </xf>
    <xf numFmtId="166" fontId="54" fillId="16" borderId="33" xfId="13" applyNumberFormat="1" applyFont="1" applyBorder="1" applyAlignment="1">
      <alignment horizontal="left"/>
    </xf>
    <xf numFmtId="0" fontId="45" fillId="16" borderId="33" xfId="13" applyNumberFormat="1" applyBorder="1" applyAlignment="1">
      <alignment horizontal="right"/>
    </xf>
    <xf numFmtId="0" fontId="45" fillId="16" borderId="0" xfId="13" applyNumberFormat="1" applyBorder="1" applyAlignment="1">
      <alignment horizontal="right"/>
    </xf>
    <xf numFmtId="166" fontId="45" fillId="16" borderId="33" xfId="13" applyNumberFormat="1" applyBorder="1" applyAlignment="1">
      <alignment horizontal="left"/>
    </xf>
    <xf numFmtId="0" fontId="45" fillId="16" borderId="34" xfId="13" applyNumberFormat="1" applyBorder="1" applyAlignment="1">
      <alignment horizontal="right"/>
    </xf>
    <xf numFmtId="166" fontId="45" fillId="16" borderId="4" xfId="13" applyNumberFormat="1" applyBorder="1" applyAlignment="1">
      <alignment horizontal="center"/>
    </xf>
    <xf numFmtId="166" fontId="45" fillId="16" borderId="36" xfId="13" applyNumberFormat="1" applyBorder="1" applyAlignment="1">
      <alignment horizontal="left"/>
    </xf>
    <xf numFmtId="0" fontId="45" fillId="16" borderId="37" xfId="13" applyNumberFormat="1" applyBorder="1" applyAlignment="1">
      <alignment horizontal="right"/>
    </xf>
    <xf numFmtId="166" fontId="45" fillId="16" borderId="38" xfId="13" applyNumberFormat="1" applyBorder="1" applyAlignment="1">
      <alignment horizontal="left"/>
    </xf>
    <xf numFmtId="10" fontId="45" fillId="16" borderId="39" xfId="13" applyNumberFormat="1" applyBorder="1" applyAlignment="1">
      <alignment horizontal="left"/>
    </xf>
    <xf numFmtId="10" fontId="45" fillId="16" borderId="36" xfId="13" applyNumberFormat="1" applyBorder="1" applyAlignment="1">
      <alignment horizontal="left"/>
    </xf>
    <xf numFmtId="0" fontId="45" fillId="16" borderId="41" xfId="13" applyNumberFormat="1" applyBorder="1" applyAlignment="1">
      <alignment horizontal="right"/>
    </xf>
    <xf numFmtId="166" fontId="45" fillId="16" borderId="42" xfId="13" applyNumberFormat="1" applyBorder="1" applyAlignment="1">
      <alignment horizontal="center"/>
    </xf>
    <xf numFmtId="9" fontId="45" fillId="16" borderId="43" xfId="13" applyNumberFormat="1" applyBorder="1" applyAlignment="1">
      <alignment horizontal="left"/>
    </xf>
    <xf numFmtId="0" fontId="45" fillId="16" borderId="44" xfId="13" applyNumberFormat="1" applyBorder="1" applyAlignment="1">
      <alignment horizontal="right"/>
    </xf>
    <xf numFmtId="9" fontId="45" fillId="16" borderId="45" xfId="13" applyNumberFormat="1" applyBorder="1" applyAlignment="1">
      <alignment horizontal="left"/>
    </xf>
    <xf numFmtId="9" fontId="45" fillId="16" borderId="46" xfId="13" applyNumberFormat="1" applyBorder="1" applyAlignment="1">
      <alignment horizontal="left"/>
    </xf>
    <xf numFmtId="0" fontId="45" fillId="16" borderId="47" xfId="13" applyNumberFormat="1" applyBorder="1" applyAlignment="1">
      <alignment horizontal="right"/>
    </xf>
    <xf numFmtId="166" fontId="45" fillId="16" borderId="31" xfId="13" applyNumberFormat="1" applyBorder="1" applyAlignment="1">
      <alignment horizontal="center"/>
    </xf>
    <xf numFmtId="0" fontId="45" fillId="16" borderId="32" xfId="13" applyBorder="1"/>
    <xf numFmtId="166" fontId="45" fillId="16" borderId="30" xfId="13" applyNumberFormat="1" applyBorder="1" applyAlignment="1">
      <alignment horizontal="center"/>
    </xf>
    <xf numFmtId="0" fontId="45" fillId="16" borderId="31" xfId="13" applyBorder="1" applyAlignment="1">
      <alignment horizontal="right"/>
    </xf>
    <xf numFmtId="166" fontId="54" fillId="16" borderId="48" xfId="13" applyNumberFormat="1" applyFont="1" applyBorder="1" applyAlignment="1">
      <alignment horizontal="center" vertical="center"/>
    </xf>
    <xf numFmtId="0" fontId="59" fillId="16" borderId="30" xfId="13" applyNumberFormat="1" applyFont="1" applyBorder="1" applyAlignment="1">
      <alignment vertical="center"/>
    </xf>
    <xf numFmtId="166" fontId="45" fillId="16" borderId="0" xfId="13" applyNumberFormat="1" applyBorder="1" applyAlignment="1">
      <alignment horizontal="center" vertical="center"/>
    </xf>
    <xf numFmtId="166" fontId="45" fillId="16" borderId="33" xfId="13" applyNumberFormat="1" applyBorder="1" applyAlignment="1">
      <alignment horizontal="right" vertical="center"/>
    </xf>
    <xf numFmtId="166" fontId="45" fillId="16" borderId="0" xfId="13" applyNumberFormat="1" applyBorder="1" applyAlignment="1">
      <alignment horizontal="right" vertical="center"/>
    </xf>
    <xf numFmtId="0" fontId="7" fillId="17" borderId="0" xfId="14"/>
    <xf numFmtId="0" fontId="7" fillId="17" borderId="0" xfId="14" applyAlignment="1">
      <alignment horizontal="center"/>
    </xf>
    <xf numFmtId="166" fontId="20" fillId="9" borderId="4" xfId="16" applyNumberFormat="1" applyFont="1" applyFill="1" applyBorder="1" applyAlignment="1" applyProtection="1">
      <alignment horizontal="center"/>
      <protection locked="0"/>
    </xf>
    <xf numFmtId="0" fontId="20" fillId="9" borderId="4" xfId="16" applyNumberFormat="1" applyFont="1" applyFill="1" applyBorder="1" applyAlignment="1" applyProtection="1">
      <alignment horizontal="center"/>
      <protection locked="0"/>
    </xf>
    <xf numFmtId="166" fontId="20" fillId="9" borderId="4" xfId="13" applyNumberFormat="1" applyFont="1" applyFill="1" applyBorder="1" applyAlignment="1" applyProtection="1">
      <alignment horizontal="center"/>
      <protection locked="0"/>
    </xf>
    <xf numFmtId="10" fontId="20" fillId="9" borderId="38" xfId="16" applyNumberFormat="1" applyFont="1" applyFill="1" applyBorder="1" applyAlignment="1" applyProtection="1">
      <alignment horizontal="center"/>
      <protection locked="0"/>
    </xf>
    <xf numFmtId="10" fontId="20" fillId="9" borderId="40" xfId="16" applyNumberFormat="1" applyFont="1" applyFill="1" applyBorder="1" applyAlignment="1" applyProtection="1">
      <alignment horizontal="center"/>
      <protection locked="0"/>
    </xf>
    <xf numFmtId="0" fontId="20" fillId="9" borderId="4" xfId="13" applyNumberFormat="1" applyFont="1" applyFill="1" applyBorder="1" applyAlignment="1" applyProtection="1">
      <alignment horizontal="center"/>
      <protection locked="0"/>
    </xf>
    <xf numFmtId="0" fontId="45" fillId="16" borderId="49" xfId="13" applyNumberFormat="1" applyBorder="1" applyAlignment="1" applyProtection="1">
      <alignment horizontal="center"/>
    </xf>
    <xf numFmtId="0" fontId="45" fillId="16" borderId="0" xfId="13" applyNumberFormat="1" applyBorder="1" applyAlignment="1" applyProtection="1">
      <alignment horizontal="center"/>
    </xf>
    <xf numFmtId="164" fontId="16" fillId="0" borderId="7" xfId="2" applyNumberFormat="1" applyFont="1" applyFill="1" applyBorder="1" applyProtection="1"/>
    <xf numFmtId="0" fontId="18" fillId="0" borderId="50" xfId="0" applyFont="1" applyBorder="1" applyAlignment="1" applyProtection="1">
      <alignment horizontal="center"/>
    </xf>
    <xf numFmtId="167" fontId="16" fillId="0" borderId="5" xfId="9" applyNumberFormat="1" applyFont="1" applyFill="1" applyBorder="1" applyAlignment="1" applyProtection="1">
      <alignment horizontal="center"/>
    </xf>
    <xf numFmtId="166" fontId="20" fillId="9" borderId="27" xfId="13" applyNumberFormat="1" applyFont="1" applyFill="1" applyBorder="1" applyAlignment="1" applyProtection="1">
      <alignment horizontal="center"/>
      <protection locked="0"/>
    </xf>
    <xf numFmtId="167" fontId="20" fillId="9" borderId="27" xfId="10" applyNumberFormat="1" applyFont="1" applyFill="1" applyBorder="1" applyAlignment="1" applyProtection="1">
      <alignment horizontal="center"/>
      <protection locked="0"/>
    </xf>
    <xf numFmtId="0" fontId="52" fillId="19" borderId="0" xfId="15" applyFont="1" applyAlignment="1">
      <alignment wrapText="1"/>
    </xf>
    <xf numFmtId="0" fontId="0" fillId="0" borderId="0" xfId="0" applyAlignment="1">
      <alignment vertical="top" wrapText="1"/>
    </xf>
    <xf numFmtId="0" fontId="20" fillId="8" borderId="4" xfId="9" applyBorder="1" applyAlignment="1" applyProtection="1">
      <alignment horizontal="center"/>
      <protection locked="0"/>
    </xf>
    <xf numFmtId="0" fontId="20" fillId="8" borderId="26" xfId="9" applyBorder="1" applyAlignment="1" applyProtection="1">
      <alignment horizontal="center"/>
      <protection locked="0"/>
    </xf>
    <xf numFmtId="20" fontId="7" fillId="17" borderId="51" xfId="14" applyNumberFormat="1" applyBorder="1"/>
    <xf numFmtId="0" fontId="20" fillId="8" borderId="51" xfId="9" applyBorder="1" applyAlignment="1" applyProtection="1">
      <alignment horizontal="center"/>
      <protection locked="0"/>
    </xf>
    <xf numFmtId="0" fontId="14" fillId="3" borderId="2" xfId="4" applyAlignment="1">
      <alignment horizontal="center"/>
    </xf>
    <xf numFmtId="1" fontId="14" fillId="3" borderId="2" xfId="4" applyNumberFormat="1" applyAlignment="1">
      <alignment horizontal="center"/>
    </xf>
    <xf numFmtId="167" fontId="13" fillId="3" borderId="3" xfId="3" applyNumberFormat="1"/>
    <xf numFmtId="0" fontId="14" fillId="3" borderId="2" xfId="4"/>
    <xf numFmtId="0" fontId="0" fillId="0" borderId="0" xfId="0" applyAlignment="1">
      <alignment horizontal="right"/>
    </xf>
    <xf numFmtId="0" fontId="26" fillId="0" borderId="0" xfId="0" applyFont="1"/>
    <xf numFmtId="167" fontId="14" fillId="3" borderId="2" xfId="4" applyNumberFormat="1" applyAlignment="1">
      <alignment horizontal="center"/>
    </xf>
    <xf numFmtId="166" fontId="14" fillId="3" borderId="2" xfId="4" applyNumberFormat="1" applyAlignment="1">
      <alignment horizontal="center"/>
    </xf>
    <xf numFmtId="0" fontId="58" fillId="0" borderId="0" xfId="0" applyFont="1" applyProtection="1"/>
    <xf numFmtId="0" fontId="0" fillId="0" borderId="0" xfId="0" applyProtection="1"/>
    <xf numFmtId="0" fontId="32" fillId="0" borderId="0" xfId="0" applyFont="1" applyProtection="1"/>
    <xf numFmtId="0" fontId="0" fillId="25" borderId="0" xfId="0" applyFill="1" applyAlignment="1" applyProtection="1">
      <alignment horizontal="left" wrapText="1"/>
    </xf>
    <xf numFmtId="0" fontId="62" fillId="8" borderId="0" xfId="9" applyFont="1" applyProtection="1"/>
    <xf numFmtId="0" fontId="20" fillId="8" borderId="0" xfId="9" applyProtection="1"/>
    <xf numFmtId="167" fontId="20" fillId="8" borderId="3" xfId="9" applyNumberFormat="1" applyBorder="1" applyAlignment="1" applyProtection="1">
      <alignment horizontal="center"/>
    </xf>
    <xf numFmtId="0" fontId="6" fillId="22" borderId="0" xfId="18" applyProtection="1"/>
    <xf numFmtId="0" fontId="57" fillId="0" borderId="0" xfId="0" applyFont="1" applyProtection="1"/>
    <xf numFmtId="0" fontId="63" fillId="21" borderId="0" xfId="17" applyFont="1" applyProtection="1"/>
    <xf numFmtId="0" fontId="6" fillId="21" borderId="0" xfId="17" applyProtection="1"/>
    <xf numFmtId="0" fontId="62" fillId="4" borderId="0" xfId="6" applyFont="1" applyProtection="1"/>
    <xf numFmtId="0" fontId="20" fillId="4" borderId="0" xfId="6" applyProtection="1"/>
    <xf numFmtId="0" fontId="20" fillId="4" borderId="0" xfId="6" applyAlignment="1" applyProtection="1">
      <alignment horizontal="left" vertical="top" wrapText="1"/>
    </xf>
    <xf numFmtId="0" fontId="63" fillId="23" borderId="0" xfId="11" applyFont="1" applyFill="1" applyProtection="1"/>
    <xf numFmtId="0" fontId="0" fillId="23" borderId="0" xfId="0" applyFill="1" applyProtection="1"/>
    <xf numFmtId="0" fontId="67" fillId="0" borderId="0" xfId="19" applyProtection="1"/>
    <xf numFmtId="0" fontId="0" fillId="0" borderId="0" xfId="0" applyAlignment="1" applyProtection="1">
      <alignment horizontal="left" wrapText="1"/>
    </xf>
    <xf numFmtId="0" fontId="68" fillId="0" borderId="0" xfId="0" applyFont="1" applyAlignment="1" applyProtection="1">
      <alignment vertical="center"/>
    </xf>
    <xf numFmtId="0" fontId="68" fillId="0" borderId="0" xfId="0" applyFont="1" applyAlignment="1" applyProtection="1">
      <alignment vertical="top" wrapText="1"/>
    </xf>
    <xf numFmtId="0" fontId="18" fillId="0" borderId="0" xfId="0" applyFont="1" applyAlignment="1" applyProtection="1">
      <alignment vertical="center" wrapText="1"/>
    </xf>
    <xf numFmtId="166" fontId="59" fillId="16" borderId="44" xfId="13" applyNumberFormat="1" applyFont="1" applyBorder="1" applyAlignment="1">
      <alignment horizontal="center" vertical="center"/>
    </xf>
    <xf numFmtId="0" fontId="54" fillId="16" borderId="45" xfId="13" applyFont="1" applyBorder="1"/>
    <xf numFmtId="166" fontId="54" fillId="16" borderId="46" xfId="13" applyNumberFormat="1" applyFont="1" applyBorder="1" applyAlignment="1">
      <alignment horizontal="left"/>
    </xf>
    <xf numFmtId="0" fontId="59" fillId="16" borderId="44" xfId="13" applyFont="1" applyBorder="1" applyAlignment="1">
      <alignment horizontal="right"/>
    </xf>
    <xf numFmtId="166" fontId="59" fillId="16" borderId="44" xfId="13" applyNumberFormat="1" applyFont="1" applyBorder="1" applyAlignment="1">
      <alignment horizontal="center"/>
    </xf>
    <xf numFmtId="0" fontId="59" fillId="16" borderId="45" xfId="13" applyFont="1" applyBorder="1"/>
    <xf numFmtId="166" fontId="59" fillId="16" borderId="46" xfId="13" applyNumberFormat="1" applyFont="1" applyBorder="1" applyAlignment="1">
      <alignment horizontal="left"/>
    </xf>
    <xf numFmtId="166" fontId="20" fillId="9" borderId="52" xfId="16" applyNumberFormat="1" applyFont="1" applyFill="1" applyBorder="1" applyAlignment="1" applyProtection="1">
      <alignment horizontal="center"/>
      <protection locked="0"/>
    </xf>
    <xf numFmtId="0" fontId="45" fillId="16" borderId="25" xfId="13" applyNumberFormat="1" applyBorder="1" applyAlignment="1" applyProtection="1">
      <alignment horizontal="center"/>
    </xf>
    <xf numFmtId="0" fontId="59" fillId="16" borderId="31" xfId="13" applyNumberFormat="1" applyFont="1" applyBorder="1" applyAlignment="1">
      <alignment vertical="center"/>
    </xf>
    <xf numFmtId="2" fontId="16" fillId="0" borderId="0" xfId="0" applyNumberFormat="1" applyFont="1" applyProtection="1"/>
    <xf numFmtId="165" fontId="14" fillId="3" borderId="2" xfId="4" applyNumberFormat="1" applyAlignment="1">
      <alignment horizontal="center"/>
    </xf>
    <xf numFmtId="166" fontId="18" fillId="0" borderId="1" xfId="0" applyNumberFormat="1" applyFont="1" applyBorder="1" applyAlignment="1" applyProtection="1">
      <alignment horizontal="right"/>
    </xf>
    <xf numFmtId="166" fontId="16" fillId="0" borderId="0" xfId="0" applyNumberFormat="1" applyFont="1" applyProtection="1"/>
    <xf numFmtId="0" fontId="18" fillId="0" borderId="0" xfId="0" applyFont="1" applyBorder="1" applyAlignment="1" applyProtection="1">
      <alignment horizontal="right"/>
    </xf>
    <xf numFmtId="0" fontId="18" fillId="0" borderId="0" xfId="0" applyFont="1" applyBorder="1" applyAlignment="1" applyProtection="1">
      <alignment horizontal="center"/>
    </xf>
    <xf numFmtId="164" fontId="18" fillId="0" borderId="0" xfId="0" applyNumberFormat="1" applyFont="1" applyBorder="1" applyAlignment="1" applyProtection="1">
      <alignment horizontal="right"/>
    </xf>
    <xf numFmtId="166" fontId="20" fillId="8" borderId="2" xfId="9" applyNumberFormat="1" applyBorder="1" applyAlignment="1" applyProtection="1">
      <alignment horizontal="center"/>
      <protection locked="0"/>
    </xf>
    <xf numFmtId="170" fontId="0" fillId="0" borderId="0" xfId="0" applyNumberFormat="1"/>
    <xf numFmtId="0" fontId="45" fillId="16" borderId="0" xfId="13" applyProtection="1"/>
    <xf numFmtId="0" fontId="45" fillId="28" borderId="49" xfId="13" applyFill="1" applyBorder="1" applyAlignment="1" applyProtection="1">
      <alignment horizontal="center"/>
    </xf>
    <xf numFmtId="44" fontId="0" fillId="0" borderId="0" xfId="12" applyFont="1" applyProtection="1"/>
    <xf numFmtId="0" fontId="49" fillId="29" borderId="0" xfId="13" applyFont="1" applyFill="1"/>
    <xf numFmtId="2" fontId="49" fillId="16" borderId="0" xfId="13" applyNumberFormat="1" applyFont="1"/>
    <xf numFmtId="0" fontId="64" fillId="29" borderId="0" xfId="0" applyFont="1" applyFill="1"/>
    <xf numFmtId="166" fontId="27" fillId="29" borderId="0" xfId="0" applyNumberFormat="1" applyFont="1" applyFill="1" applyProtection="1"/>
    <xf numFmtId="167" fontId="64" fillId="29" borderId="0" xfId="0" applyNumberFormat="1" applyFont="1" applyFill="1"/>
    <xf numFmtId="166" fontId="64" fillId="29" borderId="0" xfId="0" applyNumberFormat="1" applyFont="1" applyFill="1"/>
    <xf numFmtId="165" fontId="14" fillId="3" borderId="2" xfId="4" applyNumberFormat="1" applyAlignment="1">
      <alignment horizontal="center" vertical="center"/>
    </xf>
    <xf numFmtId="0" fontId="0" fillId="26" borderId="0" xfId="0" applyFill="1" applyAlignment="1">
      <alignment horizontal="left" vertical="center"/>
    </xf>
    <xf numFmtId="0" fontId="0" fillId="26" borderId="0" xfId="0" applyFill="1" applyAlignment="1">
      <alignment horizontal="right" vertical="center"/>
    </xf>
    <xf numFmtId="0" fontId="48" fillId="0" borderId="0" xfId="0" applyFont="1" applyAlignment="1">
      <alignment vertical="top"/>
    </xf>
    <xf numFmtId="0" fontId="45" fillId="16" borderId="0" xfId="13" applyAlignment="1" applyProtection="1">
      <alignment horizontal="center"/>
    </xf>
    <xf numFmtId="164" fontId="27" fillId="0" borderId="0" xfId="0" applyNumberFormat="1" applyFont="1" applyProtection="1"/>
    <xf numFmtId="0" fontId="27" fillId="0" borderId="0" xfId="0" applyFont="1" applyProtection="1"/>
    <xf numFmtId="0" fontId="27" fillId="0" borderId="0" xfId="0" applyFont="1" applyAlignment="1" applyProtection="1">
      <alignment horizontal="center"/>
    </xf>
    <xf numFmtId="0" fontId="16" fillId="0" borderId="0" xfId="0" applyFont="1" applyAlignment="1" applyProtection="1">
      <alignment horizontal="left" vertical="top" wrapText="1"/>
    </xf>
    <xf numFmtId="0" fontId="54" fillId="19" borderId="0" xfId="15" applyFont="1"/>
    <xf numFmtId="164" fontId="28" fillId="0" borderId="1" xfId="0" applyNumberFormat="1" applyFont="1" applyFill="1" applyBorder="1" applyAlignment="1" applyProtection="1">
      <alignment horizontal="right"/>
    </xf>
    <xf numFmtId="0" fontId="24" fillId="3" borderId="9" xfId="4" applyFont="1" applyBorder="1" applyAlignment="1" applyProtection="1">
      <alignment horizontal="center"/>
    </xf>
    <xf numFmtId="0" fontId="24" fillId="3" borderId="2" xfId="4" applyFont="1" applyBorder="1" applyAlignment="1" applyProtection="1">
      <alignment horizontal="center"/>
    </xf>
    <xf numFmtId="0" fontId="16" fillId="10" borderId="2" xfId="0" applyFont="1" applyFill="1" applyBorder="1" applyAlignment="1" applyProtection="1">
      <alignment horizontal="center" wrapText="1"/>
    </xf>
    <xf numFmtId="166" fontId="5" fillId="10" borderId="2" xfId="20" applyNumberFormat="1" applyFill="1" applyBorder="1" applyAlignment="1" applyProtection="1">
      <alignment horizontal="center"/>
    </xf>
    <xf numFmtId="0" fontId="18" fillId="10" borderId="14" xfId="0" applyFont="1" applyFill="1" applyBorder="1" applyAlignment="1" applyProtection="1">
      <alignment wrapText="1"/>
    </xf>
    <xf numFmtId="0" fontId="18" fillId="10" borderId="15" xfId="0" applyFont="1" applyFill="1" applyBorder="1" applyAlignment="1" applyProtection="1">
      <alignment horizontal="right" wrapText="1"/>
    </xf>
    <xf numFmtId="0" fontId="5" fillId="10" borderId="0" xfId="20" applyFill="1" applyProtection="1"/>
    <xf numFmtId="0" fontId="16" fillId="0" borderId="1" xfId="0" applyFont="1" applyBorder="1" applyAlignment="1" applyProtection="1">
      <alignment vertical="center"/>
    </xf>
    <xf numFmtId="0" fontId="16" fillId="0" borderId="1" xfId="0" applyFont="1" applyBorder="1" applyAlignment="1" applyProtection="1">
      <alignment horizontal="right" vertical="center"/>
    </xf>
    <xf numFmtId="165" fontId="20" fillId="8" borderId="0" xfId="9" applyNumberFormat="1" applyAlignment="1" applyProtection="1">
      <alignment horizontal="right" vertical="center"/>
      <protection locked="0"/>
    </xf>
    <xf numFmtId="0" fontId="24" fillId="3" borderId="2" xfId="4" applyFont="1" applyBorder="1" applyAlignment="1" applyProtection="1">
      <alignment horizontal="center"/>
    </xf>
    <xf numFmtId="0" fontId="45" fillId="16" borderId="0" xfId="13" applyAlignment="1" applyProtection="1">
      <alignment horizontal="right"/>
    </xf>
    <xf numFmtId="0" fontId="0" fillId="0" borderId="0" xfId="0" applyAlignment="1">
      <alignment horizontal="left"/>
    </xf>
    <xf numFmtId="44" fontId="64" fillId="0" borderId="0" xfId="12" applyFont="1" applyProtection="1"/>
    <xf numFmtId="0" fontId="64" fillId="0" borderId="0" xfId="0" applyFont="1"/>
    <xf numFmtId="166" fontId="24" fillId="30" borderId="2" xfId="10" applyNumberFormat="1" applyFont="1" applyFill="1" applyBorder="1" applyAlignment="1" applyProtection="1">
      <alignment horizontal="center"/>
    </xf>
    <xf numFmtId="0" fontId="20" fillId="8" borderId="2" xfId="9" applyNumberFormat="1" applyBorder="1" applyAlignment="1" applyProtection="1">
      <alignment horizontal="center"/>
      <protection locked="0"/>
    </xf>
    <xf numFmtId="9" fontId="64" fillId="0" borderId="0" xfId="0" applyNumberFormat="1" applyFont="1"/>
    <xf numFmtId="9" fontId="45" fillId="16" borderId="56" xfId="13" applyNumberFormat="1" applyBorder="1" applyAlignment="1">
      <alignment horizontal="left"/>
    </xf>
    <xf numFmtId="0" fontId="45" fillId="16" borderId="0" xfId="13" applyAlignment="1" applyProtection="1">
      <alignment horizontal="left"/>
    </xf>
    <xf numFmtId="0" fontId="20" fillId="4" borderId="0" xfId="6" applyAlignment="1">
      <alignment horizontal="left"/>
    </xf>
    <xf numFmtId="165" fontId="61" fillId="9" borderId="2" xfId="16" applyNumberFormat="1" applyFont="1" applyFill="1" applyAlignment="1" applyProtection="1">
      <alignment horizontal="center"/>
      <protection locked="0"/>
    </xf>
    <xf numFmtId="170" fontId="20" fillId="8" borderId="0" xfId="9" applyNumberFormat="1" applyAlignment="1" applyProtection="1">
      <alignment horizontal="right" vertical="center"/>
      <protection locked="0"/>
    </xf>
    <xf numFmtId="0" fontId="24" fillId="3" borderId="2" xfId="4" applyFont="1" applyBorder="1" applyAlignment="1" applyProtection="1">
      <alignment horizontal="center"/>
    </xf>
    <xf numFmtId="0" fontId="51" fillId="19" borderId="0" xfId="15" applyAlignment="1">
      <alignment horizontal="left" wrapText="1"/>
    </xf>
    <xf numFmtId="0" fontId="51" fillId="23" borderId="0" xfId="15" applyFill="1" applyAlignment="1">
      <alignment horizontal="center" wrapText="1"/>
    </xf>
    <xf numFmtId="0" fontId="51" fillId="19" borderId="0" xfId="15" applyAlignment="1">
      <alignment horizontal="right"/>
    </xf>
    <xf numFmtId="0" fontId="59" fillId="16" borderId="33" xfId="13" applyFont="1" applyBorder="1" applyAlignment="1">
      <alignment horizontal="right"/>
    </xf>
    <xf numFmtId="0" fontId="45" fillId="16" borderId="28" xfId="13" applyNumberFormat="1" applyBorder="1" applyAlignment="1">
      <alignment horizontal="right"/>
    </xf>
    <xf numFmtId="0" fontId="20" fillId="8" borderId="35" xfId="9" applyBorder="1" applyAlignment="1" applyProtection="1">
      <alignment horizontal="center"/>
      <protection locked="0"/>
    </xf>
    <xf numFmtId="2" fontId="20" fillId="8" borderId="37" xfId="9" applyNumberFormat="1" applyBorder="1" applyAlignment="1" applyProtection="1">
      <alignment horizontal="center"/>
      <protection locked="0"/>
    </xf>
    <xf numFmtId="1" fontId="20" fillId="8" borderId="0" xfId="9" applyNumberFormat="1"/>
    <xf numFmtId="1" fontId="20" fillId="8" borderId="25" xfId="9" applyNumberFormat="1" applyBorder="1"/>
    <xf numFmtId="166" fontId="20" fillId="8" borderId="0" xfId="9" applyNumberFormat="1"/>
    <xf numFmtId="166" fontId="20" fillId="8" borderId="25" xfId="9" applyNumberFormat="1" applyBorder="1"/>
    <xf numFmtId="0" fontId="51" fillId="19" borderId="0" xfId="15" applyAlignment="1">
      <alignment horizontal="center"/>
    </xf>
    <xf numFmtId="0" fontId="51" fillId="19" borderId="25" xfId="15" applyBorder="1" applyAlignment="1">
      <alignment horizontal="center"/>
    </xf>
    <xf numFmtId="167" fontId="45" fillId="16" borderId="31" xfId="13" applyNumberFormat="1" applyBorder="1" applyAlignment="1">
      <alignment horizontal="center"/>
    </xf>
    <xf numFmtId="167" fontId="23" fillId="9" borderId="2" xfId="10" applyNumberFormat="1" applyFont="1" applyFill="1" applyBorder="1" applyAlignment="1" applyProtection="1">
      <alignment horizontal="center"/>
      <protection locked="0"/>
    </xf>
    <xf numFmtId="0" fontId="3" fillId="32" borderId="0" xfId="22" applyProtection="1"/>
    <xf numFmtId="0" fontId="3" fillId="32" borderId="0" xfId="22" applyAlignment="1" applyProtection="1">
      <alignment horizontal="left" wrapText="1"/>
    </xf>
    <xf numFmtId="0" fontId="3" fillId="32" borderId="0" xfId="22" applyAlignment="1" applyProtection="1">
      <alignment vertical="center"/>
    </xf>
    <xf numFmtId="0" fontId="63" fillId="32" borderId="0" xfId="22" applyFont="1" applyProtection="1"/>
    <xf numFmtId="0" fontId="71" fillId="32" borderId="0" xfId="22" applyFont="1" applyProtection="1"/>
    <xf numFmtId="9" fontId="0" fillId="0" borderId="0" xfId="10" applyFont="1" applyAlignment="1">
      <alignment horizontal="left"/>
    </xf>
    <xf numFmtId="0" fontId="0" fillId="0" borderId="0" xfId="0" applyFont="1"/>
    <xf numFmtId="0" fontId="0" fillId="0" borderId="1" xfId="0" applyFont="1" applyBorder="1" applyAlignment="1" applyProtection="1">
      <alignment horizontal="right"/>
    </xf>
    <xf numFmtId="166" fontId="48" fillId="0" borderId="1" xfId="0" applyNumberFormat="1" applyFont="1" applyBorder="1" applyProtection="1"/>
    <xf numFmtId="167" fontId="64" fillId="8" borderId="1" xfId="9" applyNumberFormat="1" applyFont="1" applyBorder="1" applyAlignment="1" applyProtection="1">
      <alignment horizontal="center"/>
      <protection locked="0"/>
    </xf>
    <xf numFmtId="167" fontId="64" fillId="9" borderId="1" xfId="10" applyNumberFormat="1" applyFont="1" applyFill="1" applyBorder="1" applyAlignment="1" applyProtection="1">
      <alignment horizontal="center"/>
      <protection locked="0"/>
    </xf>
    <xf numFmtId="167" fontId="64" fillId="8" borderId="1" xfId="9" applyNumberFormat="1" applyFont="1" applyBorder="1" applyAlignment="1" applyProtection="1">
      <alignment horizontal="center"/>
    </xf>
    <xf numFmtId="0" fontId="32" fillId="0" borderId="1" xfId="0" applyFont="1" applyBorder="1" applyAlignment="1" applyProtection="1">
      <alignment horizontal="right" vertical="center"/>
    </xf>
    <xf numFmtId="167" fontId="64" fillId="9" borderId="1" xfId="0" applyNumberFormat="1" applyFont="1" applyFill="1" applyBorder="1" applyAlignment="1" applyProtection="1">
      <alignment horizontal="center"/>
      <protection locked="0"/>
    </xf>
    <xf numFmtId="0" fontId="0" fillId="0" borderId="0" xfId="0" applyFont="1" applyAlignment="1">
      <alignment horizontal="right"/>
    </xf>
    <xf numFmtId="166" fontId="4" fillId="31" borderId="0" xfId="21" applyNumberFormat="1" applyAlignment="1">
      <alignment horizontal="center"/>
    </xf>
    <xf numFmtId="0" fontId="0" fillId="0" borderId="0" xfId="0" applyFont="1" applyAlignment="1">
      <alignment horizontal="center"/>
    </xf>
    <xf numFmtId="166" fontId="20" fillId="4" borderId="0" xfId="6" applyNumberFormat="1" applyAlignment="1">
      <alignment horizontal="center"/>
    </xf>
    <xf numFmtId="166" fontId="0" fillId="0" borderId="0" xfId="0" applyNumberFormat="1" applyFont="1" applyAlignment="1">
      <alignment horizontal="center"/>
    </xf>
    <xf numFmtId="164" fontId="27" fillId="0" borderId="8" xfId="0" applyNumberFormat="1" applyFont="1" applyBorder="1" applyProtection="1"/>
    <xf numFmtId="164" fontId="27" fillId="0" borderId="1" xfId="0" applyNumberFormat="1" applyFont="1" applyBorder="1" applyProtection="1"/>
    <xf numFmtId="164" fontId="16" fillId="0" borderId="1" xfId="0" applyNumberFormat="1" applyFont="1" applyBorder="1" applyAlignment="1" applyProtection="1">
      <alignment horizontal="right"/>
    </xf>
    <xf numFmtId="164" fontId="16" fillId="0" borderId="5" xfId="9" applyNumberFormat="1" applyFont="1" applyFill="1" applyBorder="1" applyAlignment="1" applyProtection="1">
      <alignment horizontal="right"/>
    </xf>
    <xf numFmtId="0" fontId="0" fillId="0" borderId="0" xfId="0" applyFont="1" applyFill="1" applyBorder="1" applyAlignment="1" applyProtection="1">
      <alignment horizontal="right"/>
    </xf>
    <xf numFmtId="166" fontId="32" fillId="0" borderId="1" xfId="0" applyNumberFormat="1" applyFont="1" applyBorder="1" applyProtection="1"/>
    <xf numFmtId="0" fontId="0" fillId="26" borderId="0" xfId="0" applyFont="1" applyFill="1"/>
    <xf numFmtId="0" fontId="0" fillId="26" borderId="0" xfId="0" applyFont="1" applyFill="1" applyBorder="1" applyAlignment="1" applyProtection="1">
      <alignment horizontal="right"/>
    </xf>
    <xf numFmtId="0" fontId="0" fillId="26" borderId="6" xfId="0" applyFont="1" applyFill="1" applyBorder="1" applyAlignment="1" applyProtection="1">
      <alignment horizontal="right"/>
    </xf>
    <xf numFmtId="0" fontId="0" fillId="26" borderId="58" xfId="0" applyFont="1" applyFill="1" applyBorder="1" applyAlignment="1">
      <alignment horizontal="center"/>
    </xf>
    <xf numFmtId="167" fontId="20" fillId="8" borderId="59" xfId="9" applyNumberFormat="1" applyBorder="1" applyAlignment="1" applyProtection="1">
      <alignment horizontal="center"/>
      <protection locked="0"/>
    </xf>
    <xf numFmtId="0" fontId="0" fillId="26" borderId="60" xfId="0" applyFont="1" applyFill="1" applyBorder="1"/>
    <xf numFmtId="167" fontId="20" fillId="8" borderId="59" xfId="9" applyNumberFormat="1" applyBorder="1" applyAlignment="1" applyProtection="1">
      <alignment horizontal="center"/>
    </xf>
    <xf numFmtId="167" fontId="20" fillId="8" borderId="61" xfId="9" applyNumberFormat="1" applyBorder="1" applyAlignment="1" applyProtection="1">
      <alignment horizontal="center"/>
    </xf>
    <xf numFmtId="10" fontId="0" fillId="0" borderId="0" xfId="0" applyNumberFormat="1" applyAlignment="1">
      <alignment horizontal="center" vertical="center" wrapText="1"/>
    </xf>
    <xf numFmtId="0" fontId="45" fillId="16" borderId="33" xfId="13" applyBorder="1" applyAlignment="1">
      <alignment horizontal="right"/>
    </xf>
    <xf numFmtId="0" fontId="45" fillId="16" borderId="28" xfId="13" applyBorder="1"/>
    <xf numFmtId="0" fontId="45" fillId="16" borderId="0" xfId="13" applyBorder="1"/>
    <xf numFmtId="0" fontId="45" fillId="16" borderId="33" xfId="13" applyBorder="1"/>
    <xf numFmtId="0" fontId="45" fillId="16" borderId="46" xfId="13" applyBorder="1"/>
    <xf numFmtId="0" fontId="45" fillId="16" borderId="44" xfId="13" applyBorder="1"/>
    <xf numFmtId="0" fontId="45" fillId="16" borderId="45" xfId="13" applyBorder="1"/>
    <xf numFmtId="0" fontId="45" fillId="16" borderId="0" xfId="13" applyBorder="1" applyAlignment="1">
      <alignment horizontal="center"/>
    </xf>
    <xf numFmtId="3" fontId="32" fillId="12" borderId="4" xfId="0" applyNumberFormat="1" applyFont="1" applyFill="1" applyBorder="1" applyAlignment="1">
      <alignment horizontal="center" vertical="center"/>
    </xf>
    <xf numFmtId="3" fontId="32" fillId="11" borderId="4" xfId="0" applyNumberFormat="1" applyFont="1" applyFill="1" applyBorder="1" applyAlignment="1">
      <alignment horizontal="center" vertical="center"/>
    </xf>
    <xf numFmtId="169" fontId="0" fillId="12" borderId="0" xfId="0" applyNumberFormat="1" applyFill="1"/>
    <xf numFmtId="166" fontId="59" fillId="29" borderId="0" xfId="9" applyNumberFormat="1" applyFont="1" applyFill="1" applyBorder="1" applyAlignment="1">
      <alignment horizontal="center"/>
    </xf>
    <xf numFmtId="10" fontId="75" fillId="16" borderId="0" xfId="13" applyNumberFormat="1" applyFont="1" applyBorder="1" applyAlignment="1">
      <alignment horizontal="center" vertical="center" wrapText="1"/>
    </xf>
    <xf numFmtId="3" fontId="74" fillId="12" borderId="4" xfId="9" applyNumberFormat="1" applyFont="1" applyFill="1" applyBorder="1" applyAlignment="1" applyProtection="1">
      <alignment horizontal="center" vertical="center"/>
    </xf>
    <xf numFmtId="3" fontId="74" fillId="11" borderId="4" xfId="9" applyNumberFormat="1" applyFont="1" applyFill="1" applyBorder="1" applyAlignment="1" applyProtection="1">
      <alignment horizontal="center" vertical="center"/>
    </xf>
    <xf numFmtId="0" fontId="20" fillId="33" borderId="0" xfId="2" applyFont="1" applyFill="1" applyAlignment="1">
      <alignment vertical="top" wrapText="1"/>
    </xf>
    <xf numFmtId="169" fontId="64" fillId="33" borderId="0" xfId="0" applyNumberFormat="1" applyFont="1" applyFill="1" applyAlignment="1">
      <alignment horizontal="center" vertical="center"/>
    </xf>
    <xf numFmtId="169" fontId="20" fillId="8" borderId="0" xfId="9" applyNumberFormat="1" applyAlignment="1">
      <alignment horizontal="center" vertical="center" wrapText="1"/>
    </xf>
    <xf numFmtId="0" fontId="12" fillId="2" borderId="0" xfId="2"/>
    <xf numFmtId="0" fontId="20" fillId="33" borderId="0" xfId="2" applyFont="1" applyFill="1" applyAlignment="1">
      <alignment horizontal="right" vertical="center" wrapText="1"/>
    </xf>
    <xf numFmtId="0" fontId="64" fillId="33" borderId="0" xfId="0" applyFont="1" applyFill="1" applyAlignment="1">
      <alignment vertical="center"/>
    </xf>
    <xf numFmtId="169" fontId="73" fillId="12" borderId="3" xfId="9" applyNumberFormat="1" applyFont="1" applyFill="1" applyBorder="1" applyAlignment="1" applyProtection="1">
      <alignment horizontal="center"/>
    </xf>
    <xf numFmtId="169" fontId="73" fillId="11" borderId="3" xfId="9" applyNumberFormat="1" applyFont="1" applyFill="1" applyBorder="1" applyAlignment="1" applyProtection="1">
      <alignment horizontal="center"/>
    </xf>
    <xf numFmtId="0" fontId="16" fillId="0" borderId="6" xfId="0" applyFont="1" applyBorder="1" applyProtection="1"/>
    <xf numFmtId="0" fontId="18" fillId="0" borderId="6" xfId="0" applyFont="1" applyBorder="1" applyAlignment="1" applyProtection="1">
      <alignment horizontal="right" vertical="center"/>
    </xf>
    <xf numFmtId="0" fontId="16" fillId="0" borderId="7" xfId="0" applyFont="1" applyBorder="1" applyAlignment="1" applyProtection="1">
      <alignment horizontal="center"/>
    </xf>
    <xf numFmtId="164" fontId="17" fillId="0" borderId="7" xfId="0" applyNumberFormat="1" applyFont="1" applyBorder="1" applyProtection="1"/>
    <xf numFmtId="164" fontId="18" fillId="0" borderId="7" xfId="0" applyNumberFormat="1" applyFont="1" applyBorder="1" applyProtection="1"/>
    <xf numFmtId="167" fontId="17" fillId="15" borderId="1" xfId="9" applyNumberFormat="1" applyFont="1" applyFill="1" applyBorder="1" applyAlignment="1" applyProtection="1">
      <alignment horizontal="center"/>
    </xf>
    <xf numFmtId="167" fontId="27" fillId="34" borderId="1" xfId="6" applyNumberFormat="1" applyFont="1" applyFill="1" applyBorder="1" applyAlignment="1" applyProtection="1">
      <alignment horizontal="center"/>
      <protection locked="0"/>
    </xf>
    <xf numFmtId="0" fontId="0" fillId="0" borderId="0" xfId="0" applyAlignment="1">
      <alignment horizontal="left" vertical="top" wrapText="1"/>
    </xf>
    <xf numFmtId="0" fontId="18" fillId="0" borderId="0" xfId="0" applyFont="1" applyAlignment="1">
      <alignment vertical="center" wrapText="1"/>
    </xf>
    <xf numFmtId="0" fontId="0" fillId="0" borderId="0" xfId="0" applyAlignment="1">
      <alignment vertical="top"/>
    </xf>
    <xf numFmtId="0" fontId="26" fillId="0" borderId="0" xfId="0" applyFont="1" applyAlignment="1">
      <alignment vertical="center"/>
    </xf>
    <xf numFmtId="166" fontId="27" fillId="34" borderId="1" xfId="6" applyNumberFormat="1" applyFont="1" applyFill="1" applyBorder="1" applyAlignment="1" applyProtection="1">
      <alignment horizontal="center"/>
      <protection locked="0"/>
    </xf>
    <xf numFmtId="0" fontId="26" fillId="0" borderId="6" xfId="0" applyFont="1" applyBorder="1" applyAlignment="1" applyProtection="1">
      <alignment horizontal="right"/>
    </xf>
    <xf numFmtId="0" fontId="24" fillId="30" borderId="3" xfId="9" applyFont="1" applyFill="1" applyBorder="1" applyAlignment="1" applyProtection="1">
      <alignment horizontal="center"/>
    </xf>
    <xf numFmtId="166" fontId="20" fillId="35" borderId="1" xfId="25" applyNumberFormat="1" applyBorder="1" applyAlignment="1" applyProtection="1">
      <alignment horizontal="center"/>
    </xf>
    <xf numFmtId="0" fontId="9" fillId="6" borderId="0" xfId="8" applyProtection="1"/>
    <xf numFmtId="0" fontId="1" fillId="6" borderId="0" xfId="8" applyFont="1" applyAlignment="1" applyProtection="1">
      <alignment horizontal="right" vertical="top"/>
    </xf>
    <xf numFmtId="0" fontId="1" fillId="6" borderId="0" xfId="8" applyFont="1" applyAlignment="1" applyProtection="1">
      <alignment horizontal="right"/>
    </xf>
    <xf numFmtId="166" fontId="9" fillId="6" borderId="0" xfId="8" applyNumberFormat="1" applyAlignment="1" applyProtection="1">
      <alignment horizontal="left" vertical="top"/>
    </xf>
    <xf numFmtId="166" fontId="9" fillId="6" borderId="0" xfId="8" applyNumberFormat="1" applyAlignment="1" applyProtection="1">
      <alignment horizontal="left"/>
    </xf>
    <xf numFmtId="0" fontId="20" fillId="4" borderId="0" xfId="6" applyAlignment="1" applyProtection="1">
      <alignment horizontal="right" vertical="top"/>
    </xf>
    <xf numFmtId="166" fontId="20" fillId="4" borderId="0" xfId="6" applyNumberFormat="1" applyAlignment="1" applyProtection="1">
      <alignment horizontal="left" vertical="top"/>
    </xf>
    <xf numFmtId="0" fontId="20" fillId="4" borderId="0" xfId="6" applyAlignment="1" applyProtection="1">
      <alignment horizontal="right"/>
    </xf>
    <xf numFmtId="166" fontId="20" fillId="4" borderId="0" xfId="6" applyNumberFormat="1" applyAlignment="1" applyProtection="1">
      <alignment horizontal="left"/>
    </xf>
    <xf numFmtId="17" fontId="9" fillId="6" borderId="0" xfId="8" applyNumberFormat="1" applyAlignment="1" applyProtection="1">
      <alignment horizontal="center"/>
    </xf>
    <xf numFmtId="17" fontId="20" fillId="4" borderId="0" xfId="6" applyNumberFormat="1" applyAlignment="1" applyProtection="1">
      <alignment horizontal="center"/>
    </xf>
    <xf numFmtId="0" fontId="0" fillId="23" borderId="0" xfId="0" applyFill="1" applyAlignment="1" applyProtection="1">
      <alignment horizontal="left" vertical="top" wrapText="1"/>
    </xf>
    <xf numFmtId="0" fontId="0" fillId="0" borderId="0" xfId="0" applyAlignment="1" applyProtection="1">
      <alignment horizontal="left" vertical="center" wrapText="1"/>
    </xf>
    <xf numFmtId="0" fontId="76" fillId="0" borderId="0" xfId="0" applyFont="1" applyAlignment="1" applyProtection="1">
      <alignment horizontal="left" vertical="top" wrapText="1"/>
    </xf>
    <xf numFmtId="0" fontId="18" fillId="0" borderId="0" xfId="0" applyFont="1" applyAlignment="1" applyProtection="1">
      <alignment horizontal="left" vertical="center" wrapText="1"/>
    </xf>
    <xf numFmtId="0" fontId="0" fillId="0" borderId="0" xfId="0" applyAlignment="1" applyProtection="1">
      <alignment horizontal="left" vertical="top" wrapText="1"/>
    </xf>
    <xf numFmtId="0" fontId="20" fillId="4" borderId="0" xfId="6" applyAlignment="1" applyProtection="1">
      <alignment horizontal="left" vertical="top" wrapText="1"/>
    </xf>
    <xf numFmtId="0" fontId="3" fillId="21" borderId="0" xfId="17" applyFont="1" applyAlignment="1" applyProtection="1">
      <alignment horizontal="left" vertical="top" wrapText="1"/>
    </xf>
    <xf numFmtId="0" fontId="18" fillId="10" borderId="12" xfId="0" applyFont="1" applyFill="1" applyBorder="1" applyAlignment="1" applyProtection="1">
      <alignment horizontal="left" vertical="top" wrapText="1"/>
    </xf>
    <xf numFmtId="0" fontId="18" fillId="10" borderId="13" xfId="0" applyFont="1" applyFill="1" applyBorder="1" applyAlignment="1" applyProtection="1">
      <alignment horizontal="left" vertical="top" wrapText="1"/>
    </xf>
    <xf numFmtId="0" fontId="18" fillId="10" borderId="53" xfId="0" applyFont="1" applyFill="1" applyBorder="1" applyAlignment="1" applyProtection="1">
      <alignment horizontal="left" vertical="top" wrapText="1"/>
    </xf>
    <xf numFmtId="0" fontId="18" fillId="10" borderId="54" xfId="0" applyFont="1" applyFill="1" applyBorder="1" applyAlignment="1" applyProtection="1">
      <alignment horizontal="left" vertical="top" wrapText="1"/>
    </xf>
    <xf numFmtId="9" fontId="28" fillId="4" borderId="0" xfId="10" applyNumberFormat="1" applyFont="1" applyFill="1" applyAlignment="1" applyProtection="1">
      <alignment horizontal="center" vertical="center"/>
    </xf>
    <xf numFmtId="0" fontId="28" fillId="4" borderId="0" xfId="6" applyFont="1" applyAlignment="1" applyProtection="1">
      <alignment horizontal="right" vertical="center"/>
    </xf>
    <xf numFmtId="0" fontId="24" fillId="3" borderId="2" xfId="4" applyFont="1" applyBorder="1" applyAlignment="1" applyProtection="1">
      <alignment horizontal="left"/>
    </xf>
    <xf numFmtId="0" fontId="18" fillId="10" borderId="14" xfId="0" applyFont="1" applyFill="1" applyBorder="1" applyAlignment="1" applyProtection="1">
      <alignment horizontal="left" vertical="top" wrapText="1"/>
    </xf>
    <xf numFmtId="0" fontId="18" fillId="10" borderId="15" xfId="0" applyFont="1" applyFill="1" applyBorder="1" applyAlignment="1" applyProtection="1">
      <alignment horizontal="left" vertical="top" wrapText="1"/>
    </xf>
    <xf numFmtId="0" fontId="24" fillId="3" borderId="2" xfId="4" applyFont="1" applyBorder="1" applyAlignment="1" applyProtection="1">
      <alignment horizontal="center"/>
    </xf>
    <xf numFmtId="0" fontId="44" fillId="10" borderId="9" xfId="4" applyFont="1" applyFill="1" applyBorder="1" applyAlignment="1" applyProtection="1">
      <alignment horizontal="left"/>
    </xf>
    <xf numFmtId="0" fontId="44" fillId="10" borderId="10" xfId="4" applyFont="1" applyFill="1" applyBorder="1" applyAlignment="1" applyProtection="1">
      <alignment horizontal="left"/>
    </xf>
    <xf numFmtId="0" fontId="44" fillId="10" borderId="11" xfId="4" applyFont="1" applyFill="1" applyBorder="1" applyAlignment="1" applyProtection="1">
      <alignment horizontal="left"/>
    </xf>
    <xf numFmtId="1" fontId="57" fillId="7" borderId="0" xfId="11" applyNumberFormat="1" applyFont="1" applyFill="1" applyAlignment="1" applyProtection="1">
      <alignment horizontal="right" vertical="center"/>
    </xf>
    <xf numFmtId="1" fontId="66" fillId="7" borderId="0" xfId="11" applyNumberFormat="1" applyFont="1" applyFill="1" applyAlignment="1" applyProtection="1">
      <alignment horizontal="right" vertical="center"/>
    </xf>
    <xf numFmtId="9" fontId="57" fillId="7" borderId="0" xfId="10" applyFont="1" applyFill="1" applyAlignment="1" applyProtection="1">
      <alignment horizontal="left" vertical="center"/>
    </xf>
    <xf numFmtId="9" fontId="18" fillId="7" borderId="0" xfId="10" applyNumberFormat="1" applyFont="1" applyFill="1" applyAlignment="1" applyProtection="1">
      <alignment horizontal="center" vertical="center"/>
    </xf>
    <xf numFmtId="0" fontId="18" fillId="7" borderId="0" xfId="7" applyFont="1" applyFill="1" applyAlignment="1" applyProtection="1">
      <alignment horizontal="right" vertical="center"/>
    </xf>
    <xf numFmtId="1" fontId="65" fillId="4" borderId="0" xfId="6" applyNumberFormat="1" applyFont="1" applyAlignment="1" applyProtection="1">
      <alignment horizontal="right" vertical="center"/>
    </xf>
    <xf numFmtId="9" fontId="65" fillId="4" borderId="0" xfId="6" applyNumberFormat="1" applyFont="1" applyAlignment="1" applyProtection="1">
      <alignment horizontal="center" vertical="center"/>
    </xf>
    <xf numFmtId="0" fontId="21" fillId="4" borderId="0" xfId="6" applyFont="1" applyAlignment="1" applyProtection="1">
      <alignment horizontal="center" vertical="center"/>
    </xf>
    <xf numFmtId="0" fontId="25" fillId="10" borderId="16" xfId="3" applyFont="1" applyFill="1" applyBorder="1" applyAlignment="1" applyProtection="1">
      <alignment horizontal="left" vertical="center" wrapText="1"/>
    </xf>
    <xf numFmtId="0" fontId="25" fillId="10" borderId="0" xfId="3" applyFont="1" applyFill="1" applyBorder="1" applyAlignment="1" applyProtection="1">
      <alignment horizontal="left" vertical="center" wrapText="1"/>
    </xf>
    <xf numFmtId="0" fontId="25" fillId="10" borderId="19" xfId="3" applyFont="1" applyFill="1" applyBorder="1" applyAlignment="1" applyProtection="1">
      <alignment horizontal="left" vertical="center" wrapText="1"/>
    </xf>
    <xf numFmtId="0" fontId="25" fillId="10" borderId="18" xfId="3" applyFont="1" applyFill="1" applyBorder="1" applyAlignment="1" applyProtection="1">
      <alignment horizontal="left" vertical="center" wrapText="1"/>
    </xf>
    <xf numFmtId="0" fontId="25" fillId="10" borderId="20" xfId="3" applyFont="1" applyFill="1" applyBorder="1" applyAlignment="1" applyProtection="1">
      <alignment horizontal="left" vertical="center" wrapText="1"/>
    </xf>
    <xf numFmtId="0" fontId="25" fillId="10" borderId="21" xfId="3" applyFont="1" applyFill="1" applyBorder="1" applyAlignment="1" applyProtection="1">
      <alignment horizontal="left" vertical="center" wrapText="1"/>
    </xf>
    <xf numFmtId="0" fontId="25" fillId="10" borderId="22" xfId="3" applyFont="1" applyFill="1" applyBorder="1" applyAlignment="1" applyProtection="1">
      <alignment horizontal="left" vertical="center" wrapText="1"/>
    </xf>
    <xf numFmtId="0" fontId="16" fillId="0" borderId="0" xfId="0" applyFont="1" applyAlignment="1" applyProtection="1">
      <alignment horizontal="left" vertical="top" wrapText="1"/>
    </xf>
    <xf numFmtId="0" fontId="43" fillId="15" borderId="0" xfId="7" applyFont="1" applyFill="1" applyAlignment="1" applyProtection="1">
      <alignment horizontal="left" vertical="center"/>
    </xf>
    <xf numFmtId="0" fontId="16" fillId="0" borderId="1" xfId="0" applyFont="1" applyBorder="1" applyAlignment="1" applyProtection="1">
      <alignment horizontal="center" vertical="center"/>
    </xf>
    <xf numFmtId="0" fontId="21" fillId="7" borderId="0" xfId="12" applyNumberFormat="1" applyFont="1" applyFill="1" applyAlignment="1" applyProtection="1">
      <alignment horizontal="center" vertical="center"/>
    </xf>
    <xf numFmtId="0" fontId="28" fillId="10" borderId="16" xfId="3" applyFont="1" applyFill="1" applyBorder="1" applyAlignment="1" applyProtection="1">
      <alignment horizontal="center" vertical="top" wrapText="1"/>
    </xf>
    <xf numFmtId="0" fontId="28" fillId="10" borderId="17" xfId="3" applyFont="1" applyFill="1" applyBorder="1" applyAlignment="1" applyProtection="1">
      <alignment horizontal="center" vertical="top" wrapText="1"/>
    </xf>
    <xf numFmtId="0" fontId="28" fillId="10" borderId="57" xfId="3" applyFont="1" applyFill="1" applyBorder="1" applyAlignment="1" applyProtection="1">
      <alignment horizontal="center" vertical="top" wrapText="1"/>
    </xf>
    <xf numFmtId="0" fontId="30" fillId="13" borderId="0" xfId="11" applyFont="1" applyAlignment="1" applyProtection="1">
      <alignment horizontal="left" vertical="center"/>
    </xf>
    <xf numFmtId="0" fontId="16" fillId="0" borderId="0" xfId="0" applyFont="1" applyAlignment="1" applyProtection="1">
      <alignment horizontal="left" vertical="center" wrapText="1"/>
    </xf>
    <xf numFmtId="0" fontId="44" fillId="3" borderId="2" xfId="4" applyFont="1" applyBorder="1" applyAlignment="1" applyProtection="1">
      <alignment horizontal="left"/>
    </xf>
    <xf numFmtId="0" fontId="0" fillId="0" borderId="0" xfId="0" applyAlignment="1">
      <alignment horizontal="left" vertical="top" wrapText="1"/>
    </xf>
    <xf numFmtId="0" fontId="16" fillId="0" borderId="0" xfId="0" applyFont="1" applyAlignment="1">
      <alignment horizontal="left" vertical="center" wrapText="1"/>
    </xf>
    <xf numFmtId="0" fontId="46" fillId="11" borderId="0" xfId="0" applyFont="1" applyFill="1" applyAlignment="1">
      <alignment horizontal="left" wrapText="1"/>
    </xf>
    <xf numFmtId="0" fontId="33" fillId="12" borderId="0" xfId="0" applyFont="1" applyFill="1" applyAlignment="1">
      <alignment horizontal="center"/>
    </xf>
    <xf numFmtId="0" fontId="33" fillId="11" borderId="0" xfId="0" applyFont="1" applyFill="1" applyAlignment="1">
      <alignment horizontal="center"/>
    </xf>
    <xf numFmtId="0" fontId="0" fillId="12" borderId="0" xfId="0" applyFill="1" applyAlignment="1">
      <alignment horizontal="center"/>
    </xf>
    <xf numFmtId="0" fontId="37" fillId="11" borderId="0" xfId="0" applyFont="1" applyFill="1" applyAlignment="1">
      <alignment horizontal="center" vertical="center"/>
    </xf>
    <xf numFmtId="0" fontId="0" fillId="11" borderId="0" xfId="0" applyFill="1" applyAlignment="1">
      <alignment horizontal="center"/>
    </xf>
    <xf numFmtId="0" fontId="12" fillId="2" borderId="0" xfId="2" applyFont="1" applyAlignment="1">
      <alignment horizontal="left" vertical="top" wrapText="1"/>
    </xf>
    <xf numFmtId="0" fontId="48" fillId="24" borderId="0" xfId="0" applyFont="1" applyFill="1" applyAlignment="1">
      <alignment horizontal="left" wrapText="1"/>
    </xf>
    <xf numFmtId="0" fontId="7" fillId="17" borderId="0" xfId="14" applyAlignment="1">
      <alignment horizontal="center"/>
    </xf>
    <xf numFmtId="0" fontId="59" fillId="19" borderId="0" xfId="15" applyFont="1" applyAlignment="1">
      <alignment horizontal="left" vertical="center" wrapText="1"/>
    </xf>
    <xf numFmtId="0" fontId="0" fillId="26" borderId="0" xfId="0" applyFont="1" applyFill="1" applyAlignment="1">
      <alignment horizontal="left" wrapText="1"/>
    </xf>
    <xf numFmtId="0" fontId="0" fillId="0" borderId="0" xfId="0" applyFont="1" applyAlignment="1">
      <alignment horizontal="right" vertical="center"/>
    </xf>
    <xf numFmtId="0" fontId="45" fillId="16" borderId="30" xfId="13" applyBorder="1" applyAlignment="1">
      <alignment horizontal="center" vertical="center"/>
    </xf>
    <xf numFmtId="0" fontId="45" fillId="16" borderId="31" xfId="13" applyBorder="1" applyAlignment="1">
      <alignment horizontal="center" vertical="center"/>
    </xf>
    <xf numFmtId="9" fontId="60" fillId="4" borderId="33" xfId="6" applyNumberFormat="1" applyFont="1" applyBorder="1" applyAlignment="1">
      <alignment horizontal="center" vertical="center"/>
    </xf>
    <xf numFmtId="0" fontId="60" fillId="4" borderId="0" xfId="6" applyFont="1" applyAlignment="1">
      <alignment horizontal="center" vertical="center"/>
    </xf>
    <xf numFmtId="0" fontId="59" fillId="16" borderId="30" xfId="13" applyNumberFormat="1" applyFont="1" applyBorder="1" applyAlignment="1">
      <alignment horizontal="left"/>
    </xf>
    <xf numFmtId="0" fontId="59" fillId="16" borderId="31" xfId="13" applyNumberFormat="1" applyFont="1" applyBorder="1" applyAlignment="1">
      <alignment horizontal="left"/>
    </xf>
    <xf numFmtId="0" fontId="59" fillId="16" borderId="32" xfId="13" applyNumberFormat="1" applyFont="1" applyBorder="1" applyAlignment="1">
      <alignment horizontal="left"/>
    </xf>
    <xf numFmtId="0" fontId="65" fillId="4" borderId="0" xfId="6" applyFont="1" applyAlignment="1">
      <alignment horizontal="center" vertical="center" wrapText="1"/>
    </xf>
    <xf numFmtId="0" fontId="45" fillId="16" borderId="0" xfId="13" applyAlignment="1" applyProtection="1">
      <alignment horizontal="right"/>
    </xf>
    <xf numFmtId="0" fontId="45" fillId="16" borderId="55" xfId="13" applyBorder="1" applyAlignment="1" applyProtection="1">
      <alignment horizontal="right"/>
    </xf>
    <xf numFmtId="170" fontId="69" fillId="16" borderId="35" xfId="13" applyNumberFormat="1" applyFont="1" applyBorder="1" applyAlignment="1" applyProtection="1">
      <alignment horizontal="center"/>
    </xf>
    <xf numFmtId="170" fontId="69" fillId="16" borderId="49" xfId="13" applyNumberFormat="1" applyFont="1" applyBorder="1" applyAlignment="1" applyProtection="1">
      <alignment horizontal="center"/>
    </xf>
    <xf numFmtId="170" fontId="69" fillId="16" borderId="37" xfId="13" applyNumberFormat="1" applyFont="1" applyBorder="1" applyAlignment="1" applyProtection="1">
      <alignment horizontal="center"/>
    </xf>
    <xf numFmtId="0" fontId="0" fillId="0" borderId="0" xfId="0" applyAlignment="1">
      <alignment horizontal="left" wrapText="1"/>
    </xf>
    <xf numFmtId="0" fontId="45" fillId="16" borderId="0" xfId="13" applyAlignment="1" applyProtection="1">
      <alignment horizontal="center"/>
    </xf>
    <xf numFmtId="0" fontId="45" fillId="16" borderId="0" xfId="13" applyAlignment="1">
      <alignment horizontal="right"/>
    </xf>
    <xf numFmtId="0" fontId="45" fillId="16" borderId="0" xfId="13" applyBorder="1" applyAlignment="1">
      <alignment horizontal="right"/>
    </xf>
    <xf numFmtId="0" fontId="45" fillId="16" borderId="28" xfId="13" applyBorder="1" applyAlignment="1">
      <alignment horizontal="right"/>
    </xf>
    <xf numFmtId="0" fontId="51" fillId="19" borderId="0" xfId="15" applyAlignment="1">
      <alignment horizontal="left" wrapText="1"/>
    </xf>
    <xf numFmtId="0" fontId="56" fillId="16" borderId="0" xfId="13" applyFont="1" applyAlignment="1" applyProtection="1">
      <alignment horizontal="left" vertical="top" wrapText="1"/>
    </xf>
    <xf numFmtId="0" fontId="45" fillId="16" borderId="0" xfId="13" applyAlignment="1">
      <alignment horizontal="center"/>
    </xf>
    <xf numFmtId="0" fontId="52" fillId="19" borderId="0" xfId="15" applyFont="1" applyAlignment="1">
      <alignment horizontal="left" wrapText="1"/>
    </xf>
    <xf numFmtId="0" fontId="45" fillId="16" borderId="0" xfId="13" applyAlignment="1">
      <alignment horizontal="left" vertical="top" wrapText="1"/>
    </xf>
    <xf numFmtId="0" fontId="56" fillId="16" borderId="0" xfId="13" applyFont="1" applyAlignment="1">
      <alignment horizontal="right"/>
    </xf>
    <xf numFmtId="0" fontId="52" fillId="19" borderId="0" xfId="15" applyFont="1" applyAlignment="1">
      <alignment horizontal="center" wrapText="1"/>
    </xf>
    <xf numFmtId="0" fontId="51" fillId="23" borderId="0" xfId="15" applyFill="1" applyAlignment="1">
      <alignment horizontal="center" wrapText="1"/>
    </xf>
    <xf numFmtId="0" fontId="51" fillId="19" borderId="29" xfId="15" applyBorder="1" applyAlignment="1">
      <alignment horizontal="right"/>
    </xf>
    <xf numFmtId="0" fontId="51" fillId="19" borderId="0" xfId="15" applyAlignment="1">
      <alignment horizontal="right"/>
    </xf>
    <xf numFmtId="0" fontId="45" fillId="16" borderId="0" xfId="13" applyAlignment="1">
      <alignment horizontal="left"/>
    </xf>
    <xf numFmtId="166" fontId="20" fillId="8" borderId="0" xfId="9" applyNumberFormat="1" applyAlignment="1">
      <alignment horizontal="center"/>
    </xf>
  </cellXfs>
  <cellStyles count="26">
    <cellStyle name="20 % - Akzent6" xfId="7" builtinId="50"/>
    <cellStyle name="40 % - Akzent1" xfId="14" builtinId="31"/>
    <cellStyle name="40 % - Akzent2" xfId="21" builtinId="35"/>
    <cellStyle name="40 % - Akzent4" xfId="22" builtinId="43"/>
    <cellStyle name="40 % - Akzent5" xfId="20" builtinId="47"/>
    <cellStyle name="40 % - Akzent6" xfId="18" builtinId="51"/>
    <cellStyle name="60 % - Akzent3" xfId="11" builtinId="40"/>
    <cellStyle name="60 % - Akzent5" xfId="17" builtinId="48"/>
    <cellStyle name="60 % - Akzent6" xfId="8" builtinId="52"/>
    <cellStyle name="Akzent1" xfId="9" builtinId="29"/>
    <cellStyle name="Akzent2" xfId="6" builtinId="33"/>
    <cellStyle name="Akzent3" xfId="25" builtinId="37"/>
    <cellStyle name="Ausgabe" xfId="3" builtinId="21"/>
    <cellStyle name="Berechnung" xfId="4" builtinId="22"/>
    <cellStyle name="Eingabe" xfId="16" builtinId="20"/>
    <cellStyle name="Euro" xfId="1" xr:uid="{00000000-0005-0000-0000-000012000000}"/>
    <cellStyle name="Gut" xfId="15" builtinId="26"/>
    <cellStyle name="Link" xfId="19" builtinId="8"/>
    <cellStyle name="Link 2" xfId="24" xr:uid="{C531D125-B51D-445B-9A01-594284A46771}"/>
    <cellStyle name="Neutral" xfId="13" builtinId="28"/>
    <cellStyle name="Prozent" xfId="10" builtinId="5"/>
    <cellStyle name="Schlecht" xfId="2" builtinId="27"/>
    <cellStyle name="Standard" xfId="0" builtinId="0"/>
    <cellStyle name="Standard 2" xfId="23" xr:uid="{24CCD9DD-3BB5-4A20-B54D-D95C1762ACD9}"/>
    <cellStyle name="Standard 4" xfId="5" xr:uid="{00000000-0005-0000-0000-000019000000}"/>
    <cellStyle name="Währung" xfId="12" builtinId="4"/>
  </cellStyles>
  <dxfs count="0"/>
  <tableStyles count="0" defaultTableStyle="TableStyleMedium9" defaultPivotStyle="PivotStyleLight16"/>
  <colors>
    <mruColors>
      <color rgb="FFFFEB9C"/>
      <color rgb="FF0066FF"/>
      <color rgb="FFFFF9E1"/>
      <color rgb="FFF2F2F2"/>
      <color rgb="FF87DD97"/>
      <color rgb="FF92CDDC"/>
      <color rgb="FF9C0006"/>
      <color rgb="FFFFDB43"/>
      <color rgb="FFE1EBCD"/>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190499</xdr:rowOff>
    </xdr:from>
    <xdr:to>
      <xdr:col>0</xdr:col>
      <xdr:colOff>1661583</xdr:colOff>
      <xdr:row>39</xdr:row>
      <xdr:rowOff>10583</xdr:rowOff>
    </xdr:to>
    <xdr:sp macro="" textlink="">
      <xdr:nvSpPr>
        <xdr:cNvPr id="2" name="Textfeld 1">
          <a:extLst>
            <a:ext uri="{FF2B5EF4-FFF2-40B4-BE49-F238E27FC236}">
              <a16:creationId xmlns:a16="http://schemas.microsoft.com/office/drawing/2014/main" id="{BE509FEF-8BA8-47A7-96FF-A44346E54CBF}"/>
            </a:ext>
          </a:extLst>
        </xdr:cNvPr>
        <xdr:cNvSpPr txBox="1"/>
      </xdr:nvSpPr>
      <xdr:spPr>
        <a:xfrm>
          <a:off x="0" y="5990166"/>
          <a:ext cx="1661583" cy="391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t>Fahrtenvermittlung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111126</xdr:colOff>
      <xdr:row>22</xdr:row>
      <xdr:rowOff>39687</xdr:rowOff>
    </xdr:from>
    <xdr:to>
      <xdr:col>7</xdr:col>
      <xdr:colOff>238126</xdr:colOff>
      <xdr:row>25</xdr:row>
      <xdr:rowOff>95250</xdr:rowOff>
    </xdr:to>
    <xdr:cxnSp macro="">
      <xdr:nvCxnSpPr>
        <xdr:cNvPr id="3" name="Verbinder: gewinkelt 2">
          <a:extLst>
            <a:ext uri="{FF2B5EF4-FFF2-40B4-BE49-F238E27FC236}">
              <a16:creationId xmlns:a16="http://schemas.microsoft.com/office/drawing/2014/main" id="{E14B2AEB-ADE0-427C-A1B8-970280401F4F}"/>
            </a:ext>
          </a:extLst>
        </xdr:cNvPr>
        <xdr:cNvCxnSpPr/>
      </xdr:nvCxnSpPr>
      <xdr:spPr>
        <a:xfrm rot="10800000" flipV="1">
          <a:off x="2738439" y="4270375"/>
          <a:ext cx="3762375" cy="801688"/>
        </a:xfrm>
        <a:prstGeom prst="bentConnector3">
          <a:avLst>
            <a:gd name="adj1" fmla="val 0"/>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285750</xdr:colOff>
      <xdr:row>22</xdr:row>
      <xdr:rowOff>39687</xdr:rowOff>
    </xdr:from>
    <xdr:to>
      <xdr:col>1</xdr:col>
      <xdr:colOff>285750</xdr:colOff>
      <xdr:row>23</xdr:row>
      <xdr:rowOff>309563</xdr:rowOff>
    </xdr:to>
    <xdr:cxnSp macro="">
      <xdr:nvCxnSpPr>
        <xdr:cNvPr id="18" name="Gerade Verbindung mit Pfeil 17">
          <a:extLst>
            <a:ext uri="{FF2B5EF4-FFF2-40B4-BE49-F238E27FC236}">
              <a16:creationId xmlns:a16="http://schemas.microsoft.com/office/drawing/2014/main" id="{0EA938A7-9567-4B86-9409-98A321E7EF15}"/>
            </a:ext>
          </a:extLst>
        </xdr:cNvPr>
        <xdr:cNvCxnSpPr/>
      </xdr:nvCxnSpPr>
      <xdr:spPr>
        <a:xfrm>
          <a:off x="2230438" y="4270375"/>
          <a:ext cx="0" cy="43656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axileaks.de/" TargetMode="External"/><Relationship Id="rId1" Type="http://schemas.openxmlformats.org/officeDocument/2006/relationships/hyperlink" Target="mailto:Ralph.goossens@outlook.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8"/>
  <sheetViews>
    <sheetView showGridLines="0" zoomScale="110" zoomScaleNormal="110" workbookViewId="0">
      <selection activeCell="W28" sqref="W28"/>
    </sheetView>
  </sheetViews>
  <sheetFormatPr baseColWidth="10" defaultColWidth="10.85546875" defaultRowHeight="12.75" x14ac:dyDescent="0.2"/>
  <cols>
    <col min="1" max="1" width="29.7109375" style="220" customWidth="1"/>
    <col min="2" max="2" width="9.7109375" style="220" customWidth="1"/>
    <col min="3" max="3" width="8.85546875" style="220" customWidth="1"/>
    <col min="4" max="4" width="14.85546875" style="220" customWidth="1"/>
    <col min="5" max="5" width="3.42578125" style="220" customWidth="1"/>
    <col min="6" max="6" width="1.5703125" style="220" customWidth="1"/>
    <col min="7" max="7" width="6.28515625" style="220" customWidth="1"/>
    <col min="8" max="8" width="2.140625" style="220" customWidth="1"/>
    <col min="9" max="9" width="7.85546875" style="220" bestFit="1" customWidth="1"/>
    <col min="10" max="10" width="4.42578125" style="220" customWidth="1"/>
    <col min="11" max="11" width="10.85546875" style="220"/>
    <col min="12" max="12" width="15" style="220" customWidth="1"/>
    <col min="13" max="13" width="4.28515625" style="220" customWidth="1"/>
    <col min="14" max="16384" width="10.85546875" style="220"/>
  </cols>
  <sheetData>
    <row r="1" spans="1:25" ht="25.5" x14ac:dyDescent="0.35">
      <c r="A1" s="219" t="s">
        <v>126</v>
      </c>
    </row>
    <row r="2" spans="1:25" s="221" customFormat="1" x14ac:dyDescent="0.2">
      <c r="B2" s="237"/>
      <c r="C2" s="237"/>
      <c r="D2" s="237"/>
      <c r="E2" s="237"/>
      <c r="F2" s="237"/>
      <c r="G2" s="237"/>
      <c r="H2" s="237"/>
      <c r="I2" s="237"/>
      <c r="J2" s="237"/>
      <c r="K2" s="237"/>
      <c r="L2" s="237"/>
    </row>
    <row r="3" spans="1:25" x14ac:dyDescent="0.2">
      <c r="A3" s="222"/>
      <c r="B3" s="222"/>
      <c r="C3" s="222"/>
      <c r="D3" s="222"/>
      <c r="E3" s="222"/>
      <c r="F3" s="222"/>
      <c r="G3" s="222"/>
      <c r="H3" s="222"/>
      <c r="I3" s="222"/>
      <c r="J3" s="222"/>
      <c r="K3" s="222"/>
      <c r="L3" s="222"/>
      <c r="M3" s="222"/>
      <c r="N3" s="222"/>
      <c r="O3" s="222"/>
      <c r="P3" s="222"/>
      <c r="Q3" s="222"/>
      <c r="R3" s="222"/>
      <c r="S3" s="222"/>
      <c r="T3" s="222"/>
      <c r="U3" s="222"/>
      <c r="V3" s="222"/>
      <c r="W3" s="222"/>
    </row>
    <row r="4" spans="1:25" ht="9.6" customHeight="1" x14ac:dyDescent="0.2"/>
    <row r="5" spans="1:25" ht="15" customHeight="1" x14ac:dyDescent="0.25">
      <c r="A5" s="223" t="s">
        <v>142</v>
      </c>
      <c r="B5" s="224"/>
      <c r="C5" s="224"/>
      <c r="D5" s="224"/>
      <c r="E5" s="224"/>
      <c r="F5" s="224"/>
      <c r="G5" s="224"/>
      <c r="H5" s="224"/>
      <c r="I5" s="224"/>
      <c r="J5" s="224"/>
      <c r="K5" s="224"/>
      <c r="L5" s="224"/>
      <c r="N5" s="403" t="s">
        <v>253</v>
      </c>
      <c r="O5" s="403"/>
      <c r="P5" s="403"/>
      <c r="Q5" s="403"/>
      <c r="R5" s="403"/>
      <c r="S5" s="403"/>
      <c r="T5" s="403"/>
      <c r="U5" s="403"/>
      <c r="V5" s="403"/>
      <c r="W5" s="403"/>
      <c r="X5" s="238"/>
    </row>
    <row r="6" spans="1:25" ht="15" x14ac:dyDescent="0.25">
      <c r="A6" s="224" t="s">
        <v>77</v>
      </c>
      <c r="B6" s="225" t="s">
        <v>156</v>
      </c>
      <c r="C6" s="224" t="s">
        <v>162</v>
      </c>
      <c r="D6" s="224"/>
      <c r="E6" s="224"/>
      <c r="F6" s="224"/>
      <c r="G6" s="224"/>
      <c r="H6" s="224"/>
      <c r="I6" s="224"/>
      <c r="J6" s="224"/>
      <c r="K6" s="224"/>
      <c r="L6" s="224"/>
      <c r="N6" s="403"/>
      <c r="O6" s="403"/>
      <c r="P6" s="403"/>
      <c r="Q6" s="403"/>
      <c r="R6" s="403"/>
      <c r="S6" s="403"/>
      <c r="T6" s="403"/>
      <c r="U6" s="403"/>
      <c r="V6" s="403"/>
      <c r="W6" s="403"/>
      <c r="X6" s="238"/>
    </row>
    <row r="7" spans="1:25" ht="15" x14ac:dyDescent="0.25">
      <c r="A7" s="224"/>
      <c r="B7" s="224"/>
      <c r="C7" s="224"/>
      <c r="D7" s="224"/>
      <c r="E7" s="224"/>
      <c r="F7" s="224"/>
      <c r="G7" s="224"/>
      <c r="H7" s="224"/>
      <c r="I7" s="224"/>
      <c r="J7" s="224"/>
      <c r="K7" s="224"/>
      <c r="L7" s="224"/>
      <c r="N7" s="403"/>
      <c r="O7" s="403"/>
      <c r="P7" s="403"/>
      <c r="Q7" s="403"/>
      <c r="R7" s="403"/>
      <c r="S7" s="403"/>
      <c r="T7" s="403"/>
      <c r="U7" s="403"/>
      <c r="V7" s="403"/>
      <c r="W7" s="403"/>
      <c r="X7" s="238"/>
    </row>
    <row r="8" spans="1:25" ht="4.5" customHeight="1" x14ac:dyDescent="0.2">
      <c r="N8" s="403"/>
      <c r="O8" s="403"/>
      <c r="P8" s="403"/>
      <c r="Q8" s="403"/>
      <c r="R8" s="403"/>
      <c r="S8" s="403"/>
      <c r="T8" s="403"/>
      <c r="U8" s="403"/>
      <c r="V8" s="403"/>
      <c r="W8" s="403"/>
      <c r="X8" s="238"/>
    </row>
    <row r="9" spans="1:25" ht="15" x14ac:dyDescent="0.25">
      <c r="A9" s="226" t="s">
        <v>143</v>
      </c>
      <c r="B9" s="226"/>
      <c r="C9" s="226"/>
      <c r="D9" s="226"/>
      <c r="E9" s="226"/>
      <c r="F9" s="226"/>
      <c r="G9" s="226"/>
      <c r="H9" s="226"/>
      <c r="I9" s="226"/>
      <c r="J9" s="226"/>
      <c r="K9" s="226"/>
      <c r="L9" s="226"/>
      <c r="N9" s="403"/>
      <c r="O9" s="403"/>
      <c r="P9" s="403"/>
      <c r="Q9" s="403"/>
      <c r="R9" s="403"/>
      <c r="S9" s="403"/>
      <c r="T9" s="403"/>
      <c r="U9" s="403"/>
      <c r="V9" s="403"/>
      <c r="W9" s="403"/>
      <c r="X9" s="238"/>
    </row>
    <row r="10" spans="1:25" ht="15" x14ac:dyDescent="0.25">
      <c r="A10" s="226" t="s">
        <v>149</v>
      </c>
      <c r="B10" s="226"/>
      <c r="C10" s="226"/>
      <c r="D10" s="226"/>
      <c r="E10" s="226"/>
      <c r="F10" s="226"/>
      <c r="G10" s="226"/>
      <c r="H10" s="226"/>
      <c r="I10" s="226"/>
      <c r="J10" s="226"/>
      <c r="K10" s="226"/>
      <c r="L10" s="226"/>
      <c r="N10" s="403"/>
      <c r="O10" s="403"/>
      <c r="P10" s="403"/>
      <c r="Q10" s="403"/>
      <c r="R10" s="403"/>
      <c r="S10" s="403"/>
      <c r="T10" s="403"/>
      <c r="U10" s="403"/>
      <c r="V10" s="403"/>
      <c r="W10" s="403"/>
      <c r="X10" s="238"/>
    </row>
    <row r="11" spans="1:25" ht="15" x14ac:dyDescent="0.25">
      <c r="A11" s="226"/>
      <c r="B11" s="226"/>
      <c r="C11" s="226"/>
      <c r="D11" s="226"/>
      <c r="E11" s="226"/>
      <c r="F11" s="226"/>
      <c r="G11" s="226"/>
      <c r="H11" s="226"/>
      <c r="I11" s="226"/>
      <c r="J11" s="226"/>
      <c r="K11" s="226"/>
      <c r="L11" s="226"/>
      <c r="N11" s="403"/>
      <c r="O11" s="403"/>
      <c r="P11" s="403"/>
      <c r="Q11" s="403"/>
      <c r="R11" s="403"/>
      <c r="S11" s="403"/>
      <c r="T11" s="403"/>
      <c r="U11" s="403"/>
      <c r="V11" s="403"/>
      <c r="W11" s="403"/>
      <c r="X11" s="238"/>
    </row>
    <row r="12" spans="1:25" ht="3.6" customHeight="1" x14ac:dyDescent="0.2">
      <c r="A12" s="227"/>
      <c r="N12" s="403"/>
      <c r="O12" s="403"/>
      <c r="P12" s="403"/>
      <c r="Q12" s="403"/>
      <c r="R12" s="403"/>
      <c r="S12" s="403"/>
      <c r="T12" s="403"/>
      <c r="U12" s="403"/>
      <c r="V12" s="403"/>
      <c r="W12" s="403"/>
      <c r="X12" s="238"/>
    </row>
    <row r="13" spans="1:25" ht="15" x14ac:dyDescent="0.25">
      <c r="A13" s="228" t="s">
        <v>150</v>
      </c>
      <c r="B13" s="229"/>
      <c r="C13" s="229"/>
      <c r="D13" s="229"/>
      <c r="E13" s="229"/>
      <c r="F13" s="229"/>
      <c r="G13" s="229"/>
      <c r="H13" s="229"/>
      <c r="I13" s="229"/>
      <c r="J13" s="229"/>
      <c r="K13" s="229"/>
      <c r="L13" s="229"/>
      <c r="N13" s="403"/>
      <c r="O13" s="403"/>
      <c r="P13" s="403"/>
      <c r="Q13" s="403"/>
      <c r="R13" s="403"/>
      <c r="S13" s="403"/>
      <c r="T13" s="403"/>
      <c r="U13" s="403"/>
      <c r="V13" s="403"/>
      <c r="W13" s="403"/>
      <c r="X13" s="238"/>
    </row>
    <row r="14" spans="1:25" ht="15" customHeight="1" x14ac:dyDescent="0.2">
      <c r="A14" s="407" t="s">
        <v>216</v>
      </c>
      <c r="B14" s="407"/>
      <c r="C14" s="407"/>
      <c r="D14" s="407"/>
      <c r="E14" s="407"/>
      <c r="F14" s="407"/>
      <c r="G14" s="407"/>
      <c r="H14" s="407"/>
      <c r="I14" s="407"/>
      <c r="J14" s="407"/>
      <c r="K14" s="407"/>
      <c r="L14" s="407"/>
      <c r="N14" s="403"/>
      <c r="O14" s="403"/>
      <c r="P14" s="403"/>
      <c r="Q14" s="403"/>
      <c r="R14" s="403"/>
      <c r="S14" s="403"/>
      <c r="T14" s="403"/>
      <c r="U14" s="403"/>
      <c r="V14" s="403"/>
      <c r="W14" s="403"/>
      <c r="X14" s="238"/>
    </row>
    <row r="15" spans="1:25" ht="15" customHeight="1" x14ac:dyDescent="0.2">
      <c r="A15" s="407"/>
      <c r="B15" s="407"/>
      <c r="C15" s="407"/>
      <c r="D15" s="407"/>
      <c r="E15" s="407"/>
      <c r="F15" s="407"/>
      <c r="G15" s="407"/>
      <c r="H15" s="407"/>
      <c r="I15" s="407"/>
      <c r="J15" s="407"/>
      <c r="K15" s="407"/>
      <c r="L15" s="407"/>
      <c r="N15" s="238"/>
      <c r="O15" s="238"/>
      <c r="P15" s="238"/>
      <c r="Q15" s="238"/>
      <c r="R15" s="238"/>
      <c r="S15" s="238"/>
      <c r="T15" s="238"/>
      <c r="U15" s="238"/>
      <c r="V15" s="238"/>
      <c r="W15" s="238"/>
      <c r="X15" s="238"/>
    </row>
    <row r="16" spans="1:25" ht="15" customHeight="1" x14ac:dyDescent="0.25">
      <c r="A16" s="229" t="s">
        <v>151</v>
      </c>
      <c r="B16" s="229"/>
      <c r="C16" s="229"/>
      <c r="D16" s="229"/>
      <c r="E16" s="229"/>
      <c r="F16" s="229"/>
      <c r="G16" s="229"/>
      <c r="H16" s="229"/>
      <c r="I16" s="229"/>
      <c r="J16" s="229"/>
      <c r="K16" s="229"/>
      <c r="L16" s="229"/>
      <c r="N16" s="404" t="s">
        <v>170</v>
      </c>
      <c r="O16" s="404"/>
      <c r="P16" s="404"/>
      <c r="Q16" s="404"/>
      <c r="R16" s="404"/>
      <c r="S16" s="404"/>
      <c r="T16" s="404"/>
      <c r="U16" s="404"/>
      <c r="V16" s="404"/>
      <c r="W16" s="404"/>
      <c r="X16" s="239"/>
      <c r="Y16" s="239"/>
    </row>
    <row r="17" spans="1:25" ht="15" x14ac:dyDescent="0.25">
      <c r="A17" s="229"/>
      <c r="B17" s="229"/>
      <c r="C17" s="229"/>
      <c r="D17" s="229"/>
      <c r="E17" s="229"/>
      <c r="F17" s="229"/>
      <c r="G17" s="229"/>
      <c r="H17" s="229"/>
      <c r="I17" s="229"/>
      <c r="J17" s="229"/>
      <c r="K17" s="229"/>
      <c r="L17" s="229"/>
      <c r="N17" s="404"/>
      <c r="O17" s="404"/>
      <c r="P17" s="404"/>
      <c r="Q17" s="404"/>
      <c r="R17" s="404"/>
      <c r="S17" s="404"/>
      <c r="T17" s="404"/>
      <c r="U17" s="404"/>
      <c r="V17" s="404"/>
      <c r="W17" s="404"/>
      <c r="X17" s="238"/>
    </row>
    <row r="18" spans="1:25" ht="5.0999999999999996" customHeight="1" x14ac:dyDescent="0.2"/>
    <row r="19" spans="1:25" ht="15" x14ac:dyDescent="0.25">
      <c r="A19" s="230" t="s">
        <v>152</v>
      </c>
      <c r="B19" s="231"/>
      <c r="C19" s="231"/>
      <c r="D19" s="231"/>
      <c r="E19" s="231"/>
      <c r="F19" s="231"/>
      <c r="G19" s="231"/>
      <c r="H19" s="231"/>
      <c r="I19" s="231"/>
      <c r="J19" s="231"/>
      <c r="K19" s="231"/>
      <c r="L19" s="231"/>
      <c r="N19" s="405" t="s">
        <v>157</v>
      </c>
      <c r="O19" s="405"/>
      <c r="P19" s="405"/>
      <c r="Q19" s="405"/>
      <c r="R19" s="405"/>
      <c r="S19" s="405"/>
      <c r="T19" s="405"/>
      <c r="U19" s="405"/>
      <c r="V19" s="405"/>
      <c r="W19" s="405"/>
    </row>
    <row r="20" spans="1:25" ht="15" x14ac:dyDescent="0.25">
      <c r="A20" s="231" t="s">
        <v>153</v>
      </c>
      <c r="B20" s="231"/>
      <c r="C20" s="231"/>
      <c r="D20" s="231"/>
      <c r="E20" s="231"/>
      <c r="F20" s="231"/>
      <c r="G20" s="231"/>
      <c r="H20" s="231"/>
      <c r="I20" s="231"/>
      <c r="J20" s="231"/>
      <c r="K20" s="231"/>
      <c r="L20" s="231"/>
      <c r="N20" s="405"/>
      <c r="O20" s="405"/>
      <c r="P20" s="405"/>
      <c r="Q20" s="405"/>
      <c r="R20" s="405"/>
      <c r="S20" s="405"/>
      <c r="T20" s="405"/>
      <c r="U20" s="405"/>
      <c r="V20" s="405"/>
      <c r="W20" s="405"/>
    </row>
    <row r="21" spans="1:25" ht="27.95" customHeight="1" x14ac:dyDescent="0.2">
      <c r="A21" s="406" t="s">
        <v>155</v>
      </c>
      <c r="B21" s="406"/>
      <c r="C21" s="406"/>
      <c r="D21" s="406"/>
      <c r="E21" s="406"/>
      <c r="F21" s="406"/>
      <c r="G21" s="406"/>
      <c r="H21" s="406"/>
      <c r="I21" s="406"/>
      <c r="J21" s="406"/>
      <c r="K21" s="406"/>
      <c r="L21" s="406"/>
      <c r="N21" s="405"/>
      <c r="O21" s="405"/>
      <c r="P21" s="405"/>
      <c r="Q21" s="405"/>
      <c r="R21" s="405"/>
      <c r="S21" s="405"/>
      <c r="T21" s="405"/>
      <c r="U21" s="405"/>
      <c r="V21" s="405"/>
      <c r="W21" s="405"/>
    </row>
    <row r="22" spans="1:25" ht="15" x14ac:dyDescent="0.2">
      <c r="A22" s="232"/>
      <c r="B22" s="232"/>
      <c r="C22" s="232"/>
      <c r="D22" s="232"/>
      <c r="E22" s="232"/>
      <c r="F22" s="232"/>
      <c r="G22" s="232"/>
      <c r="H22" s="232"/>
      <c r="I22" s="232"/>
      <c r="J22" s="232"/>
      <c r="K22" s="232"/>
      <c r="L22" s="232"/>
      <c r="N22" s="402" t="s">
        <v>172</v>
      </c>
      <c r="O22" s="402"/>
      <c r="P22" s="402"/>
      <c r="Q22" s="402"/>
      <c r="R22" s="402"/>
      <c r="S22" s="402"/>
      <c r="T22" s="402"/>
      <c r="U22" s="402"/>
      <c r="V22" s="402"/>
      <c r="W22" s="402"/>
      <c r="X22" s="402"/>
      <c r="Y22" s="402"/>
    </row>
    <row r="23" spans="1:25" ht="3.6" customHeight="1" x14ac:dyDescent="0.2"/>
    <row r="24" spans="1:25" ht="15" x14ac:dyDescent="0.25">
      <c r="A24" s="233" t="s">
        <v>138</v>
      </c>
      <c r="B24" s="234"/>
      <c r="C24" s="234"/>
      <c r="D24" s="234"/>
      <c r="E24" s="234"/>
      <c r="F24" s="234"/>
      <c r="G24" s="234"/>
      <c r="H24" s="234"/>
      <c r="I24" s="234"/>
      <c r="J24" s="234"/>
      <c r="K24" s="234"/>
      <c r="L24" s="234"/>
    </row>
    <row r="25" spans="1:25" x14ac:dyDescent="0.2">
      <c r="A25" s="401" t="s">
        <v>154</v>
      </c>
      <c r="B25" s="401"/>
      <c r="C25" s="401"/>
      <c r="D25" s="401"/>
      <c r="E25" s="401"/>
      <c r="F25" s="401"/>
      <c r="G25" s="401"/>
      <c r="H25" s="401"/>
      <c r="I25" s="401"/>
      <c r="J25" s="401"/>
      <c r="K25" s="401"/>
      <c r="L25" s="401"/>
    </row>
    <row r="26" spans="1:25" x14ac:dyDescent="0.2">
      <c r="A26" s="401"/>
      <c r="B26" s="401"/>
      <c r="C26" s="401"/>
      <c r="D26" s="401"/>
      <c r="E26" s="401"/>
      <c r="F26" s="401"/>
      <c r="G26" s="401"/>
      <c r="H26" s="401"/>
      <c r="I26" s="401"/>
      <c r="J26" s="401"/>
      <c r="K26" s="401"/>
      <c r="L26" s="401"/>
      <c r="N26" s="220" t="s">
        <v>165</v>
      </c>
    </row>
    <row r="27" spans="1:25" x14ac:dyDescent="0.2">
      <c r="A27" s="401"/>
      <c r="B27" s="401"/>
      <c r="C27" s="401"/>
      <c r="D27" s="401"/>
      <c r="E27" s="401"/>
      <c r="F27" s="401"/>
      <c r="G27" s="401"/>
      <c r="H27" s="401"/>
      <c r="I27" s="401"/>
      <c r="J27" s="401"/>
      <c r="K27" s="401"/>
      <c r="L27" s="401"/>
      <c r="N27" s="220" t="s">
        <v>166</v>
      </c>
      <c r="Q27" s="220" t="s">
        <v>169</v>
      </c>
    </row>
    <row r="28" spans="1:25" x14ac:dyDescent="0.2">
      <c r="A28" s="401"/>
      <c r="B28" s="401"/>
      <c r="C28" s="401"/>
      <c r="D28" s="401"/>
      <c r="E28" s="401"/>
      <c r="F28" s="401"/>
      <c r="G28" s="401"/>
      <c r="H28" s="401"/>
      <c r="I28" s="401"/>
      <c r="J28" s="401"/>
      <c r="K28" s="401"/>
      <c r="L28" s="401"/>
      <c r="N28" s="235" t="s">
        <v>167</v>
      </c>
      <c r="Q28" s="235" t="s">
        <v>168</v>
      </c>
    </row>
    <row r="29" spans="1:25" ht="5.25" customHeight="1" x14ac:dyDescent="0.2"/>
    <row r="30" spans="1:25" ht="15" x14ac:dyDescent="0.25">
      <c r="A30" s="321" t="s">
        <v>211</v>
      </c>
      <c r="B30" s="318"/>
      <c r="C30" s="318"/>
      <c r="D30" s="318"/>
      <c r="E30" s="318"/>
      <c r="F30" s="318"/>
      <c r="G30" s="318"/>
      <c r="H30" s="318"/>
      <c r="I30" s="318"/>
      <c r="J30" s="318"/>
      <c r="K30" s="318"/>
      <c r="L30" s="318"/>
    </row>
    <row r="31" spans="1:25" ht="15" x14ac:dyDescent="0.25">
      <c r="A31" s="318" t="s">
        <v>212</v>
      </c>
      <c r="B31" s="318"/>
      <c r="C31" s="318"/>
      <c r="D31" s="318"/>
      <c r="E31" s="318"/>
      <c r="F31" s="318"/>
      <c r="G31" s="318"/>
      <c r="H31" s="318"/>
      <c r="I31" s="318"/>
      <c r="J31" s="318"/>
      <c r="K31" s="318"/>
      <c r="L31" s="318"/>
    </row>
    <row r="32" spans="1:25" ht="15" x14ac:dyDescent="0.25">
      <c r="A32" s="318" t="s">
        <v>213</v>
      </c>
      <c r="B32" s="318"/>
      <c r="C32" s="318"/>
      <c r="D32" s="318"/>
      <c r="E32" s="318"/>
      <c r="F32" s="318"/>
      <c r="G32" s="318"/>
      <c r="H32" s="318"/>
      <c r="I32" s="318"/>
      <c r="J32" s="318"/>
      <c r="K32" s="318"/>
      <c r="L32" s="318"/>
    </row>
    <row r="33" spans="1:23" ht="15" x14ac:dyDescent="0.25">
      <c r="A33" s="322" t="s">
        <v>214</v>
      </c>
      <c r="B33" s="318"/>
      <c r="C33" s="318"/>
      <c r="D33" s="318"/>
      <c r="E33" s="318"/>
      <c r="F33" s="318"/>
      <c r="G33" s="318"/>
      <c r="H33" s="318"/>
      <c r="I33" s="318"/>
      <c r="J33" s="318"/>
      <c r="K33" s="318"/>
      <c r="L33" s="318"/>
    </row>
    <row r="34" spans="1:23" ht="15" x14ac:dyDescent="0.25">
      <c r="A34" s="318" t="s">
        <v>217</v>
      </c>
      <c r="B34" s="318"/>
      <c r="C34" s="318"/>
      <c r="D34" s="318"/>
      <c r="E34" s="318"/>
      <c r="F34" s="318"/>
      <c r="G34" s="318"/>
      <c r="H34" s="318"/>
      <c r="I34" s="318"/>
      <c r="J34" s="318"/>
      <c r="K34" s="318"/>
      <c r="L34" s="318"/>
    </row>
    <row r="35" spans="1:23" ht="15" x14ac:dyDescent="0.25">
      <c r="A35" s="318" t="s">
        <v>218</v>
      </c>
      <c r="B35" s="319"/>
      <c r="C35" s="319"/>
      <c r="D35" s="319"/>
      <c r="E35" s="319"/>
      <c r="F35" s="319"/>
      <c r="G35" s="319"/>
      <c r="H35" s="319"/>
      <c r="I35" s="319"/>
      <c r="J35" s="319"/>
      <c r="K35" s="319"/>
      <c r="L35" s="319"/>
    </row>
    <row r="36" spans="1:23" ht="15" x14ac:dyDescent="0.25">
      <c r="A36" s="318" t="s">
        <v>215</v>
      </c>
      <c r="B36" s="320"/>
      <c r="C36" s="320"/>
      <c r="D36" s="320"/>
      <c r="E36" s="320"/>
      <c r="F36" s="320"/>
      <c r="G36" s="320"/>
      <c r="H36" s="320"/>
      <c r="I36" s="320"/>
      <c r="J36" s="320"/>
      <c r="K36" s="320"/>
      <c r="L36" s="320"/>
    </row>
    <row r="37" spans="1:23" ht="6.75" customHeight="1" x14ac:dyDescent="0.2">
      <c r="A37" s="236"/>
    </row>
    <row r="38" spans="1:23" x14ac:dyDescent="0.2">
      <c r="A38" s="222"/>
      <c r="B38" s="222"/>
      <c r="C38" s="222"/>
      <c r="D38" s="222"/>
      <c r="E38" s="222"/>
      <c r="F38" s="222"/>
      <c r="G38" s="222"/>
      <c r="H38" s="222"/>
      <c r="I38" s="222"/>
      <c r="J38" s="222"/>
      <c r="K38" s="222"/>
      <c r="L38" s="222"/>
      <c r="M38" s="222"/>
      <c r="N38" s="222"/>
      <c r="O38" s="222"/>
      <c r="P38" s="222"/>
      <c r="Q38" s="222"/>
      <c r="R38" s="222"/>
      <c r="S38" s="222"/>
      <c r="T38" s="222"/>
      <c r="U38" s="222"/>
      <c r="V38" s="222"/>
      <c r="W38" s="222"/>
    </row>
  </sheetData>
  <sheetProtection sheet="1" objects="1" scenarios="1"/>
  <mergeCells count="7">
    <mergeCell ref="A25:L28"/>
    <mergeCell ref="N22:Y22"/>
    <mergeCell ref="N5:W14"/>
    <mergeCell ref="N16:W17"/>
    <mergeCell ref="N19:W21"/>
    <mergeCell ref="A21:L21"/>
    <mergeCell ref="A14:L15"/>
  </mergeCells>
  <phoneticPr fontId="31" type="noConversion"/>
  <hyperlinks>
    <hyperlink ref="N28" r:id="rId1" xr:uid="{00000000-0004-0000-0000-000000000000}"/>
    <hyperlink ref="Q28" r:id="rId2" xr:uid="{00000000-0004-0000-0000-000001000000}"/>
  </hyperlinks>
  <pageMargins left="0.7" right="0.7" top="0.78740157499999996" bottom="0.78740157499999996" header="0.3" footer="0.3"/>
  <pageSetup paperSize="9"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2:Q65"/>
  <sheetViews>
    <sheetView showGridLines="0" tabSelected="1" topLeftCell="A7" zoomScale="90" zoomScaleNormal="90" zoomScaleSheetLayoutView="80" workbookViewId="0">
      <selection activeCell="B40" sqref="B40"/>
    </sheetView>
  </sheetViews>
  <sheetFormatPr baseColWidth="10" defaultColWidth="11.42578125" defaultRowHeight="14.25" x14ac:dyDescent="0.2"/>
  <cols>
    <col min="1" max="1" width="46.140625" style="8" customWidth="1"/>
    <col min="2" max="2" width="12.7109375" style="8" bestFit="1" customWidth="1"/>
    <col min="3" max="3" width="13.5703125" style="8" bestFit="1" customWidth="1"/>
    <col min="4" max="4" width="2.7109375" style="8" customWidth="1"/>
    <col min="5" max="5" width="12.7109375" style="8" bestFit="1" customWidth="1"/>
    <col min="6" max="6" width="13.5703125" style="8" bestFit="1" customWidth="1"/>
    <col min="7" max="7" width="2.42578125" style="8" customWidth="1"/>
    <col min="8" max="8" width="18.5703125" style="8" customWidth="1"/>
    <col min="9" max="9" width="23.28515625" style="8" bestFit="1" customWidth="1"/>
    <col min="10" max="10" width="25.7109375" style="8" bestFit="1" customWidth="1"/>
    <col min="11" max="11" width="23.5703125" style="8" bestFit="1" customWidth="1"/>
    <col min="12" max="12" width="29" style="8" customWidth="1"/>
    <col min="13" max="13" width="19.42578125" style="8" bestFit="1" customWidth="1"/>
    <col min="14" max="14" width="23.42578125" style="8" customWidth="1"/>
    <col min="15" max="16384" width="11.42578125" style="8"/>
  </cols>
  <sheetData>
    <row r="2" spans="1:17" ht="12.75" customHeight="1" x14ac:dyDescent="0.2">
      <c r="A2" s="437" t="s">
        <v>74</v>
      </c>
      <c r="B2" s="439" t="s">
        <v>54</v>
      </c>
      <c r="C2" s="439"/>
      <c r="E2" s="428" t="s">
        <v>53</v>
      </c>
      <c r="F2" s="428"/>
      <c r="H2" s="443" t="s">
        <v>112</v>
      </c>
      <c r="I2" s="443"/>
      <c r="J2" s="443"/>
      <c r="K2" s="443"/>
      <c r="L2" s="443"/>
      <c r="M2" s="443"/>
      <c r="N2" s="443"/>
      <c r="P2" s="9"/>
      <c r="Q2" s="38"/>
    </row>
    <row r="3" spans="1:17" ht="12.75" customHeight="1" x14ac:dyDescent="0.2">
      <c r="A3" s="437"/>
      <c r="B3" s="439"/>
      <c r="C3" s="439"/>
      <c r="E3" s="428"/>
      <c r="F3" s="428"/>
      <c r="H3" s="443"/>
      <c r="I3" s="443"/>
      <c r="J3" s="443"/>
      <c r="K3" s="443"/>
      <c r="L3" s="443"/>
      <c r="M3" s="443"/>
      <c r="N3" s="443"/>
      <c r="P3" s="38"/>
      <c r="Q3" s="38"/>
    </row>
    <row r="4" spans="1:17" ht="14.1" customHeight="1" x14ac:dyDescent="0.2">
      <c r="A4" s="19" t="s">
        <v>223</v>
      </c>
      <c r="B4" s="11"/>
      <c r="C4" s="340">
        <f>B6/'Nachtzuschlag Rechner '!T9</f>
        <v>21.825312028941816</v>
      </c>
      <c r="E4" s="11"/>
      <c r="F4" s="339">
        <f>E6/'Nachtzuschlag Rechner '!T9</f>
        <v>27.441583084846847</v>
      </c>
    </row>
    <row r="5" spans="1:17" x14ac:dyDescent="0.2">
      <c r="A5" s="91" t="s">
        <v>224</v>
      </c>
      <c r="B5" s="11"/>
      <c r="C5" s="10">
        <f>C6/2</f>
        <v>5207.6209378064523</v>
      </c>
      <c r="E5" s="11"/>
      <c r="F5" s="12">
        <f>F6/2</f>
        <v>7282.0096258064532</v>
      </c>
      <c r="H5" s="444" t="s">
        <v>76</v>
      </c>
      <c r="I5" s="444"/>
      <c r="J5" s="444"/>
      <c r="K5" s="444"/>
      <c r="L5" s="444"/>
      <c r="M5" s="444"/>
      <c r="N5" s="444"/>
    </row>
    <row r="6" spans="1:17" ht="14.1" customHeight="1" x14ac:dyDescent="0.2">
      <c r="A6" s="14" t="s">
        <v>0</v>
      </c>
      <c r="B6" s="337">
        <f>C6/107*100</f>
        <v>9733.8709117877606</v>
      </c>
      <c r="C6" s="12">
        <f>N47</f>
        <v>10415.241875612905</v>
      </c>
      <c r="E6" s="338">
        <f>F6/119*100</f>
        <v>12238.671640010845</v>
      </c>
      <c r="F6" s="12">
        <f>N50</f>
        <v>14564.019251612906</v>
      </c>
      <c r="H6" s="444"/>
      <c r="I6" s="444"/>
      <c r="J6" s="444"/>
      <c r="K6" s="444"/>
      <c r="L6" s="444"/>
      <c r="M6" s="444"/>
      <c r="N6" s="444"/>
    </row>
    <row r="7" spans="1:17" ht="4.5" customHeight="1" x14ac:dyDescent="0.2">
      <c r="H7" s="9"/>
      <c r="I7" s="9"/>
      <c r="J7" s="9"/>
      <c r="K7" s="9"/>
      <c r="L7" s="9"/>
    </row>
    <row r="8" spans="1:17" ht="14.25" customHeight="1" x14ac:dyDescent="0.2">
      <c r="A8" s="375"/>
      <c r="B8" s="13"/>
      <c r="C8" s="377" t="s">
        <v>1</v>
      </c>
      <c r="E8" s="13"/>
      <c r="F8" s="13" t="s">
        <v>1</v>
      </c>
      <c r="H8" s="436" t="s">
        <v>129</v>
      </c>
      <c r="I8" s="436"/>
      <c r="J8" s="436"/>
      <c r="K8" s="436"/>
      <c r="L8" s="436"/>
      <c r="M8" s="436"/>
      <c r="N8" s="436"/>
    </row>
    <row r="9" spans="1:17" x14ac:dyDescent="0.2">
      <c r="A9" s="91" t="s">
        <v>2</v>
      </c>
      <c r="B9" s="13"/>
      <c r="C9" s="10">
        <f>C6*11</f>
        <v>114567.66063174195</v>
      </c>
      <c r="E9" s="13"/>
      <c r="F9" s="12">
        <f>F6*11</f>
        <v>160204.21176774197</v>
      </c>
      <c r="H9" s="436"/>
      <c r="I9" s="436"/>
      <c r="J9" s="436"/>
      <c r="K9" s="436"/>
      <c r="L9" s="436"/>
      <c r="M9" s="436"/>
      <c r="N9" s="436"/>
    </row>
    <row r="10" spans="1:17" x14ac:dyDescent="0.2">
      <c r="A10" s="91" t="s">
        <v>3</v>
      </c>
      <c r="B10" s="380">
        <v>7.0000000000000007E-2</v>
      </c>
      <c r="C10" s="378">
        <f>C9/107*7</f>
        <v>7495.0806020765758</v>
      </c>
      <c r="E10" s="380">
        <v>0.19</v>
      </c>
      <c r="F10" s="15">
        <f>F9/119*19</f>
        <v>25578.823727622668</v>
      </c>
      <c r="H10" s="436"/>
      <c r="I10" s="436"/>
      <c r="J10" s="436"/>
      <c r="K10" s="436"/>
      <c r="L10" s="436"/>
      <c r="M10" s="436"/>
      <c r="N10" s="436"/>
    </row>
    <row r="11" spans="1:17" ht="15" x14ac:dyDescent="0.25">
      <c r="A11" s="376" t="s">
        <v>4</v>
      </c>
      <c r="B11" s="252"/>
      <c r="C11" s="379">
        <f>C9-C10</f>
        <v>107072.58002966538</v>
      </c>
      <c r="E11" s="17"/>
      <c r="F11" s="18">
        <f>F9-F10</f>
        <v>134625.38804011932</v>
      </c>
      <c r="H11" s="436"/>
      <c r="I11" s="436"/>
      <c r="J11" s="436"/>
      <c r="K11" s="436"/>
      <c r="L11" s="436"/>
      <c r="M11" s="436"/>
      <c r="N11" s="436"/>
    </row>
    <row r="12" spans="1:17" ht="5.85" customHeight="1" x14ac:dyDescent="0.2">
      <c r="A12" s="19"/>
      <c r="B12" s="9"/>
      <c r="C12" s="20"/>
      <c r="E12" s="9"/>
      <c r="F12" s="20"/>
      <c r="H12" s="24"/>
      <c r="I12" s="24"/>
      <c r="J12" s="24"/>
      <c r="K12" s="24"/>
      <c r="L12" s="24"/>
      <c r="M12" s="24"/>
      <c r="N12" s="24"/>
    </row>
    <row r="13" spans="1:17" x14ac:dyDescent="0.2">
      <c r="A13" s="14" t="s">
        <v>75</v>
      </c>
      <c r="B13" s="21">
        <f>'Nachtzuschlag Rechner '!T9*'Taxi - Mietwagen'!K31</f>
        <v>4459.8999999999996</v>
      </c>
      <c r="C13" s="15">
        <f>B13*11</f>
        <v>49058.899999999994</v>
      </c>
      <c r="E13" s="21">
        <f>'Nachtzuschlag Rechner '!T9*'Taxi - Mietwagen'!K31</f>
        <v>4459.8999999999996</v>
      </c>
      <c r="F13" s="15">
        <f>E13*11</f>
        <v>49058.899999999994</v>
      </c>
      <c r="H13" s="436" t="s">
        <v>128</v>
      </c>
      <c r="I13" s="436"/>
      <c r="J13" s="436"/>
      <c r="K13" s="436"/>
      <c r="L13" s="436"/>
      <c r="M13" s="436"/>
      <c r="N13" s="436"/>
    </row>
    <row r="14" spans="1:17" ht="14.25" customHeight="1" x14ac:dyDescent="0.2">
      <c r="A14" s="14" t="s">
        <v>5</v>
      </c>
      <c r="B14" s="89">
        <v>8.4000000000000005E-2</v>
      </c>
      <c r="C14" s="15">
        <f>C13*B14</f>
        <v>4120.9475999999995</v>
      </c>
      <c r="E14" s="109">
        <f>B14</f>
        <v>8.4000000000000005E-2</v>
      </c>
      <c r="F14" s="15">
        <f>F13*E14</f>
        <v>4120.9475999999995</v>
      </c>
      <c r="H14" s="436"/>
      <c r="I14" s="436"/>
      <c r="J14" s="436"/>
      <c r="K14" s="436"/>
      <c r="L14" s="436"/>
      <c r="M14" s="436"/>
      <c r="N14" s="436"/>
    </row>
    <row r="15" spans="1:17" ht="14.25" customHeight="1" x14ac:dyDescent="0.2">
      <c r="A15" s="14" t="s">
        <v>52</v>
      </c>
      <c r="B15" s="89">
        <v>4.2000000000000003E-2</v>
      </c>
      <c r="C15" s="15">
        <f>C13*B15</f>
        <v>2060.4737999999998</v>
      </c>
      <c r="E15" s="109">
        <f>B15</f>
        <v>4.2000000000000003E-2</v>
      </c>
      <c r="F15" s="15">
        <f>F13*E15</f>
        <v>2060.4737999999998</v>
      </c>
      <c r="H15" s="436"/>
      <c r="I15" s="436"/>
      <c r="J15" s="436"/>
      <c r="K15" s="436"/>
      <c r="L15" s="436"/>
      <c r="M15" s="436"/>
      <c r="N15" s="436"/>
    </row>
    <row r="16" spans="1:17" ht="14.25" customHeight="1" x14ac:dyDescent="0.2">
      <c r="A16" s="14" t="s">
        <v>58</v>
      </c>
      <c r="B16" s="7">
        <v>0</v>
      </c>
      <c r="C16" s="22">
        <f>C11*B16</f>
        <v>0</v>
      </c>
      <c r="E16" s="110">
        <f>B16</f>
        <v>0</v>
      </c>
      <c r="F16" s="22">
        <f>F11*E16</f>
        <v>0</v>
      </c>
      <c r="H16" s="436"/>
      <c r="I16" s="436"/>
      <c r="J16" s="436"/>
      <c r="K16" s="436"/>
      <c r="L16" s="436"/>
      <c r="M16" s="436"/>
      <c r="N16" s="436"/>
    </row>
    <row r="17" spans="1:14" ht="14.25" customHeight="1" x14ac:dyDescent="0.25">
      <c r="A17" s="14" t="s">
        <v>111</v>
      </c>
      <c r="B17" s="110">
        <f>'Nachtzuschlag Rechner '!T15</f>
        <v>0.1941747572815534</v>
      </c>
      <c r="C17" s="22">
        <f>'Nachtzuschlag Rechner '!T11*N27*11</f>
        <v>1428.8999999999996</v>
      </c>
      <c r="E17" s="110">
        <f>B17</f>
        <v>0.1941747572815534</v>
      </c>
      <c r="F17" s="22">
        <f>'Nachtzuschlag Rechner '!T11*N27*11</f>
        <v>1428.8999999999996</v>
      </c>
      <c r="H17" s="95"/>
      <c r="I17" s="95"/>
      <c r="J17" s="95"/>
      <c r="K17" s="95"/>
      <c r="L17" s="95"/>
      <c r="M17" s="95"/>
      <c r="N17" s="95"/>
    </row>
    <row r="18" spans="1:14" ht="14.25" customHeight="1" x14ac:dyDescent="0.2">
      <c r="A18" s="14" t="s">
        <v>198</v>
      </c>
      <c r="B18" s="89">
        <v>0</v>
      </c>
      <c r="C18" s="22">
        <f>C11*B18</f>
        <v>0</v>
      </c>
      <c r="E18" s="109">
        <f>B18</f>
        <v>0</v>
      </c>
      <c r="F18" s="22">
        <f>E18*F11</f>
        <v>0</v>
      </c>
      <c r="H18" s="276"/>
      <c r="I18" s="276"/>
      <c r="J18" s="276"/>
      <c r="K18" s="276"/>
      <c r="L18" s="276"/>
      <c r="M18" s="276"/>
      <c r="N18" s="276"/>
    </row>
    <row r="19" spans="1:14" ht="15" x14ac:dyDescent="0.25">
      <c r="A19" s="16" t="s">
        <v>6</v>
      </c>
      <c r="B19" s="278">
        <f>C19-C17</f>
        <v>55240.321399999993</v>
      </c>
      <c r="C19" s="23">
        <f>SUM(C13:C18)</f>
        <v>56669.221399999995</v>
      </c>
      <c r="E19" s="278">
        <f>F19-F17</f>
        <v>55240.321399999993</v>
      </c>
      <c r="F19" s="23">
        <f>SUM(F13:F18)</f>
        <v>56669.221399999995</v>
      </c>
      <c r="H19" s="93" t="s">
        <v>51</v>
      </c>
      <c r="I19" s="93"/>
      <c r="J19" s="93"/>
      <c r="K19" s="93"/>
      <c r="L19" s="93"/>
      <c r="M19" s="93"/>
      <c r="N19" s="93"/>
    </row>
    <row r="20" spans="1:14" ht="5.85" customHeight="1" x14ac:dyDescent="0.2">
      <c r="A20" s="19"/>
      <c r="B20" s="9"/>
      <c r="C20" s="20"/>
      <c r="E20" s="9"/>
      <c r="F20" s="20"/>
      <c r="H20" s="24"/>
      <c r="I20" s="24"/>
      <c r="J20" s="24"/>
      <c r="K20" s="24"/>
      <c r="L20" s="24"/>
      <c r="M20" s="24"/>
      <c r="N20" s="24"/>
    </row>
    <row r="21" spans="1:14" ht="15" customHeight="1" x14ac:dyDescent="0.2">
      <c r="A21" s="14" t="s">
        <v>7</v>
      </c>
      <c r="B21" s="94">
        <v>0.21199999999999999</v>
      </c>
      <c r="C21" s="15">
        <f>C13*B21</f>
        <v>10400.486799999999</v>
      </c>
      <c r="E21" s="111">
        <f>B21</f>
        <v>0.21199999999999999</v>
      </c>
      <c r="F21" s="15">
        <f>F13*E21</f>
        <v>10400.486799999999</v>
      </c>
    </row>
    <row r="22" spans="1:14" ht="14.25" customHeight="1" x14ac:dyDescent="0.2">
      <c r="A22" s="14" t="s">
        <v>8</v>
      </c>
      <c r="B22" s="94">
        <v>2.1999999999999999E-2</v>
      </c>
      <c r="C22" s="15">
        <f>C13*B22</f>
        <v>1079.2957999999999</v>
      </c>
      <c r="E22" s="111">
        <f>B22</f>
        <v>2.1999999999999999E-2</v>
      </c>
      <c r="F22" s="15">
        <f>F13*E22</f>
        <v>1079.2957999999999</v>
      </c>
      <c r="H22" s="25" t="s">
        <v>55</v>
      </c>
      <c r="I22" s="440"/>
      <c r="J22" s="441"/>
      <c r="K22" s="441"/>
      <c r="L22" s="441"/>
      <c r="M22" s="441"/>
      <c r="N22" s="442"/>
    </row>
    <row r="23" spans="1:14" ht="14.25" customHeight="1" x14ac:dyDescent="0.2">
      <c r="A23" s="14" t="s">
        <v>9</v>
      </c>
      <c r="B23" s="94">
        <v>3.5000000000000003E-2</v>
      </c>
      <c r="C23" s="15">
        <f>C13*B23</f>
        <v>1717.0615</v>
      </c>
      <c r="E23" s="111">
        <f>B23</f>
        <v>3.5000000000000003E-2</v>
      </c>
      <c r="F23" s="15">
        <f>F13*E23</f>
        <v>1717.0615</v>
      </c>
      <c r="H23" s="429" t="s">
        <v>208</v>
      </c>
      <c r="I23" s="430"/>
      <c r="J23" s="430"/>
      <c r="K23" s="430"/>
      <c r="L23" s="430"/>
      <c r="M23" s="430"/>
      <c r="N23" s="431"/>
    </row>
    <row r="24" spans="1:14" ht="14.25" customHeight="1" x14ac:dyDescent="0.2">
      <c r="A24" s="14"/>
      <c r="B24" s="94">
        <v>0</v>
      </c>
      <c r="C24" s="22">
        <f>B24</f>
        <v>0</v>
      </c>
      <c r="E24" s="111">
        <f>B24</f>
        <v>0</v>
      </c>
      <c r="F24" s="22">
        <f>E24</f>
        <v>0</v>
      </c>
      <c r="H24" s="432"/>
      <c r="I24" s="430"/>
      <c r="J24" s="430"/>
      <c r="K24" s="430"/>
      <c r="L24" s="430"/>
      <c r="M24" s="430"/>
      <c r="N24" s="431"/>
    </row>
    <row r="25" spans="1:14" ht="15" x14ac:dyDescent="0.25">
      <c r="A25" s="16" t="s">
        <v>10</v>
      </c>
      <c r="B25" s="17"/>
      <c r="C25" s="23">
        <f>SUM(C19:C24)+C17</f>
        <v>71294.965499999977</v>
      </c>
      <c r="E25" s="17"/>
      <c r="F25" s="23">
        <f>SUM(F19:F24)</f>
        <v>69866.065499999982</v>
      </c>
      <c r="H25" s="433"/>
      <c r="I25" s="434"/>
      <c r="J25" s="434"/>
      <c r="K25" s="434"/>
      <c r="L25" s="434"/>
      <c r="M25" s="434"/>
      <c r="N25" s="435"/>
    </row>
    <row r="26" spans="1:14" ht="5.85" customHeight="1" x14ac:dyDescent="0.2">
      <c r="A26" s="19"/>
      <c r="B26" s="9"/>
      <c r="C26" s="20"/>
      <c r="E26" s="9"/>
      <c r="F26" s="20"/>
      <c r="H26" s="9"/>
      <c r="I26" s="9"/>
      <c r="J26" s="9"/>
      <c r="K26" s="9"/>
      <c r="L26" s="9"/>
    </row>
    <row r="27" spans="1:14" ht="18.75" x14ac:dyDescent="0.3">
      <c r="A27" s="17" t="s">
        <v>11</v>
      </c>
      <c r="B27" s="26"/>
      <c r="C27" s="18">
        <f>C11-C25</f>
        <v>35777.614529665399</v>
      </c>
      <c r="E27" s="26"/>
      <c r="F27" s="18">
        <f>F11-F25</f>
        <v>64759.322540119334</v>
      </c>
      <c r="H27" s="92" t="s">
        <v>35</v>
      </c>
      <c r="I27" s="86"/>
      <c r="J27" s="87" t="s">
        <v>78</v>
      </c>
      <c r="K27" s="388">
        <v>2</v>
      </c>
      <c r="L27" s="87" t="s">
        <v>105</v>
      </c>
      <c r="M27" s="96">
        <v>0.15</v>
      </c>
      <c r="N27" s="29">
        <f>M27*K31</f>
        <v>1.5</v>
      </c>
    </row>
    <row r="28" spans="1:14" ht="5.85" customHeight="1" x14ac:dyDescent="0.2">
      <c r="A28" s="19"/>
      <c r="B28" s="9"/>
      <c r="C28" s="20"/>
      <c r="E28" s="9"/>
      <c r="F28" s="20"/>
      <c r="H28" s="9"/>
      <c r="I28" s="9"/>
      <c r="J28" s="9"/>
      <c r="K28" s="9"/>
      <c r="L28" s="9"/>
    </row>
    <row r="29" spans="1:14" ht="15" x14ac:dyDescent="0.25">
      <c r="A29" s="287" t="s">
        <v>12</v>
      </c>
      <c r="B29" s="286"/>
      <c r="C29" s="286"/>
      <c r="E29" s="438"/>
      <c r="F29" s="438"/>
      <c r="H29" s="417" t="s">
        <v>22</v>
      </c>
      <c r="I29" s="417"/>
      <c r="J29" s="417"/>
      <c r="K29" s="417"/>
      <c r="L29" s="417"/>
      <c r="M29" s="279" t="s">
        <v>200</v>
      </c>
      <c r="N29" s="302" t="s">
        <v>200</v>
      </c>
    </row>
    <row r="30" spans="1:14" ht="15" x14ac:dyDescent="0.25">
      <c r="A30" s="14" t="s">
        <v>238</v>
      </c>
      <c r="B30" s="116">
        <f>'Treibstoff Rechner'!F16</f>
        <v>0.2354549101076811</v>
      </c>
      <c r="C30" s="15">
        <f>'Treibstoff Rechner'!F14</f>
        <v>25210.764705882353</v>
      </c>
      <c r="E30" s="116">
        <f>'Treibstoff Rechner'!F29</f>
        <v>0.18726605043002265</v>
      </c>
      <c r="F30" s="15">
        <f>'Treibstoff Rechner'!F27</f>
        <v>25210.764705882353</v>
      </c>
      <c r="H30" s="27" t="s">
        <v>19</v>
      </c>
      <c r="I30" s="27" t="s">
        <v>20</v>
      </c>
      <c r="J30" s="27" t="s">
        <v>21</v>
      </c>
      <c r="K30" s="27" t="s">
        <v>23</v>
      </c>
      <c r="L30" s="280" t="s">
        <v>199</v>
      </c>
      <c r="M30" s="27" t="s">
        <v>54</v>
      </c>
      <c r="N30" s="27" t="s">
        <v>53</v>
      </c>
    </row>
    <row r="31" spans="1:14" ht="15" x14ac:dyDescent="0.25">
      <c r="A31" s="14" t="s">
        <v>13</v>
      </c>
      <c r="B31" s="89">
        <v>0.04</v>
      </c>
      <c r="C31" s="15">
        <f>C9*B31</f>
        <v>4582.7064252696782</v>
      </c>
      <c r="E31" s="89">
        <v>0.04</v>
      </c>
      <c r="F31" s="15">
        <f>F9*E31</f>
        <v>6408.1684707096792</v>
      </c>
      <c r="H31" s="28">
        <f>'Nachtzuschlag Rechner '!T13</f>
        <v>20.6</v>
      </c>
      <c r="I31" s="28">
        <v>21.65</v>
      </c>
      <c r="J31" s="27">
        <f>I31*H31</f>
        <v>445.99</v>
      </c>
      <c r="K31" s="2">
        <v>10</v>
      </c>
      <c r="L31" s="29">
        <f>C19/12/2</f>
        <v>2361.2175583333333</v>
      </c>
      <c r="M31" s="37">
        <f>C25/C11</f>
        <v>0.6658564263628195</v>
      </c>
      <c r="N31" s="37">
        <f>F25/F11</f>
        <v>0.51896649300040942</v>
      </c>
    </row>
    <row r="32" spans="1:14" x14ac:dyDescent="0.2">
      <c r="A32" s="14" t="s">
        <v>14</v>
      </c>
      <c r="B32" s="90">
        <v>1000</v>
      </c>
      <c r="C32" s="15">
        <f>B32</f>
        <v>1000</v>
      </c>
      <c r="E32" s="90">
        <v>1000</v>
      </c>
      <c r="F32" s="15">
        <f>E32</f>
        <v>1000</v>
      </c>
      <c r="J32" s="143"/>
    </row>
    <row r="33" spans="1:14" ht="5.85" customHeight="1" x14ac:dyDescent="0.2">
      <c r="A33" s="19"/>
      <c r="B33" s="9"/>
      <c r="C33" s="273">
        <f>SUM(C30:C32)</f>
        <v>30793.47113115203</v>
      </c>
      <c r="D33" s="274"/>
      <c r="E33" s="275"/>
      <c r="F33" s="273">
        <f>SUM(F30:F32)</f>
        <v>32618.933176592032</v>
      </c>
    </row>
    <row r="34" spans="1:14" ht="18.75" x14ac:dyDescent="0.3">
      <c r="A34" s="17" t="s">
        <v>15</v>
      </c>
      <c r="B34" s="26"/>
      <c r="C34" s="18">
        <f>C27-C30-C31-C32</f>
        <v>4984.1433985133681</v>
      </c>
      <c r="E34" s="26"/>
      <c r="F34" s="18">
        <f>F27-F30-F31-F32</f>
        <v>32140.389363527305</v>
      </c>
      <c r="H34" s="445" t="s">
        <v>36</v>
      </c>
      <c r="I34" s="445"/>
      <c r="J34" s="445"/>
      <c r="K34" s="445"/>
      <c r="L34" s="445"/>
      <c r="M34" s="445"/>
      <c r="N34" s="445"/>
    </row>
    <row r="35" spans="1:14" ht="5.85" customHeight="1" x14ac:dyDescent="0.2">
      <c r="A35" s="19"/>
      <c r="B35" s="9"/>
      <c r="C35" s="20"/>
      <c r="E35" s="9"/>
      <c r="F35" s="20"/>
    </row>
    <row r="36" spans="1:14" ht="15" x14ac:dyDescent="0.25">
      <c r="A36" s="17" t="s">
        <v>232</v>
      </c>
      <c r="B36" s="13"/>
      <c r="C36" s="11"/>
      <c r="E36" s="13"/>
      <c r="F36" s="11"/>
      <c r="H36" s="417" t="s">
        <v>29</v>
      </c>
      <c r="I36" s="417"/>
      <c r="J36" s="27">
        <f>K27</f>
        <v>2</v>
      </c>
      <c r="K36" s="414" t="s">
        <v>30</v>
      </c>
      <c r="L36" s="414"/>
      <c r="M36" s="414"/>
      <c r="N36" s="30"/>
    </row>
    <row r="37" spans="1:14" ht="15" x14ac:dyDescent="0.25">
      <c r="A37" s="91" t="s">
        <v>24</v>
      </c>
      <c r="B37" s="90">
        <v>450</v>
      </c>
      <c r="C37" s="378">
        <f>B37*12</f>
        <v>5400</v>
      </c>
      <c r="E37" s="90">
        <v>450</v>
      </c>
      <c r="F37" s="378">
        <f>E37*12</f>
        <v>5400</v>
      </c>
      <c r="H37" s="27" t="s">
        <v>25</v>
      </c>
      <c r="I37" s="27" t="s">
        <v>237</v>
      </c>
      <c r="J37" s="27" t="s">
        <v>38</v>
      </c>
      <c r="K37" s="27" t="s">
        <v>26</v>
      </c>
      <c r="L37" s="27" t="s">
        <v>27</v>
      </c>
      <c r="M37" s="27" t="s">
        <v>28</v>
      </c>
      <c r="N37" s="27" t="s">
        <v>48</v>
      </c>
    </row>
    <row r="38" spans="1:14" ht="15" customHeight="1" x14ac:dyDescent="0.25">
      <c r="A38" s="91" t="s">
        <v>245</v>
      </c>
      <c r="B38" s="381">
        <v>0</v>
      </c>
      <c r="C38" s="378">
        <f>C11*B38</f>
        <v>0</v>
      </c>
      <c r="E38" s="381">
        <v>0.25</v>
      </c>
      <c r="F38" s="378">
        <f>F11*E38</f>
        <v>33656.347010029829</v>
      </c>
      <c r="H38" s="3">
        <v>19</v>
      </c>
      <c r="I38" s="4">
        <v>0.8</v>
      </c>
      <c r="J38" s="31">
        <f>H38*I38</f>
        <v>15.200000000000001</v>
      </c>
      <c r="K38" s="139">
        <f>J38*'Nachtzuschlag Rechner '!T13</f>
        <v>313.12000000000006</v>
      </c>
      <c r="L38" s="1">
        <v>6.2</v>
      </c>
      <c r="M38" s="31">
        <f>K38/L38</f>
        <v>50.503225806451624</v>
      </c>
      <c r="N38" s="31">
        <f>M38/2</f>
        <v>25.251612903225812</v>
      </c>
    </row>
    <row r="39" spans="1:14" ht="15" customHeight="1" x14ac:dyDescent="0.25">
      <c r="A39" s="387" t="s">
        <v>246</v>
      </c>
      <c r="B39" s="386">
        <v>300</v>
      </c>
      <c r="C39" s="378">
        <f>B39*12</f>
        <v>3600</v>
      </c>
      <c r="E39" s="386">
        <v>0</v>
      </c>
      <c r="F39" s="378">
        <f>E39*12</f>
        <v>0</v>
      </c>
    </row>
    <row r="40" spans="1:14" ht="14.25" customHeight="1" x14ac:dyDescent="0.2">
      <c r="A40" s="91" t="s">
        <v>16</v>
      </c>
      <c r="B40" s="90">
        <v>320</v>
      </c>
      <c r="C40" s="378">
        <f>B40</f>
        <v>320</v>
      </c>
      <c r="E40" s="90">
        <v>320</v>
      </c>
      <c r="F40" s="378">
        <f>E40</f>
        <v>320</v>
      </c>
      <c r="H40" s="250"/>
      <c r="M40" s="9" t="s">
        <v>54</v>
      </c>
      <c r="N40" s="9" t="s">
        <v>53</v>
      </c>
    </row>
    <row r="41" spans="1:14" ht="18.600000000000001" customHeight="1" x14ac:dyDescent="0.3">
      <c r="A41" s="91" t="s">
        <v>17</v>
      </c>
      <c r="B41" s="90">
        <v>3000</v>
      </c>
      <c r="C41" s="378">
        <f>B41</f>
        <v>3000</v>
      </c>
      <c r="E41" s="90">
        <v>3000</v>
      </c>
      <c r="F41" s="378">
        <f>E41</f>
        <v>3000</v>
      </c>
      <c r="H41" s="418" t="s">
        <v>127</v>
      </c>
      <c r="I41" s="419"/>
      <c r="J41" s="419"/>
      <c r="K41" s="420"/>
      <c r="L41" s="87" t="s">
        <v>197</v>
      </c>
      <c r="M41" s="29">
        <f>L44+J44</f>
        <v>445.43845161290335</v>
      </c>
      <c r="N41" s="29">
        <f>L44+J44</f>
        <v>445.43845161290335</v>
      </c>
    </row>
    <row r="42" spans="1:14" ht="5.85" customHeight="1" x14ac:dyDescent="0.2">
      <c r="A42" s="19"/>
      <c r="B42" s="9"/>
      <c r="C42" s="32"/>
      <c r="E42" s="9"/>
      <c r="F42" s="32"/>
    </row>
    <row r="43" spans="1:14" ht="15" x14ac:dyDescent="0.25">
      <c r="A43" s="17" t="s">
        <v>18</v>
      </c>
      <c r="B43" s="26"/>
      <c r="C43" s="18">
        <f>C34-C36-C37-C38-C40-C41-C39</f>
        <v>-7335.8566014866319</v>
      </c>
      <c r="E43" s="201"/>
      <c r="F43" s="18">
        <f>F34-F36-F37-F38-F40-F41-F39</f>
        <v>-10235.957646502524</v>
      </c>
      <c r="H43" s="27" t="s">
        <v>31</v>
      </c>
      <c r="I43" s="27" t="s">
        <v>32</v>
      </c>
      <c r="J43" s="27" t="s">
        <v>33</v>
      </c>
      <c r="K43" s="280" t="s">
        <v>34</v>
      </c>
      <c r="L43" s="27" t="s">
        <v>49</v>
      </c>
      <c r="M43" s="27" t="s">
        <v>79</v>
      </c>
      <c r="N43" s="27" t="s">
        <v>196</v>
      </c>
    </row>
    <row r="44" spans="1:14" ht="15" x14ac:dyDescent="0.25">
      <c r="A44" s="33" t="s">
        <v>50</v>
      </c>
      <c r="B44" s="88">
        <v>0.153</v>
      </c>
      <c r="C44" s="34">
        <f>IF(C43&lt;=0,0,IF(C43&gt;0,B44*C43))</f>
        <v>0</v>
      </c>
      <c r="D44" s="35"/>
      <c r="E44" s="202">
        <f>B44</f>
        <v>0.153</v>
      </c>
      <c r="F44" s="200">
        <f>IF(F43&lt;=0,0,IF(F43&gt;0,E44*F43))</f>
        <v>0</v>
      </c>
      <c r="H44" s="140">
        <f>M38</f>
        <v>50.503225806451624</v>
      </c>
      <c r="I44" s="6">
        <v>2</v>
      </c>
      <c r="J44" s="29">
        <f>H44*I44</f>
        <v>101.00645161290325</v>
      </c>
      <c r="K44" s="2">
        <v>1.1000000000000001</v>
      </c>
      <c r="L44" s="29">
        <f>K44*K38</f>
        <v>344.43200000000007</v>
      </c>
      <c r="M44" s="29">
        <f>M47/'Nachtzuschlag Rechner '!T13</f>
        <v>23.353083870967748</v>
      </c>
      <c r="N44" s="29">
        <f>M50/'Nachtzuschlag Rechner '!T13</f>
        <v>32.65548387096775</v>
      </c>
    </row>
    <row r="45" spans="1:14" ht="17.45" customHeight="1" x14ac:dyDescent="0.2">
      <c r="B45" s="9"/>
      <c r="C45" s="20"/>
      <c r="E45" s="99"/>
      <c r="F45" s="20"/>
      <c r="N45" s="253"/>
    </row>
    <row r="46" spans="1:14" ht="15" customHeight="1" x14ac:dyDescent="0.25">
      <c r="A46" s="17" t="s">
        <v>209</v>
      </c>
      <c r="B46" s="85"/>
      <c r="C46" s="18">
        <f>C43-C44</f>
        <v>-7335.8566014866319</v>
      </c>
      <c r="E46" s="26"/>
      <c r="F46" s="18">
        <f>F43-F44</f>
        <v>-10235.957646502524</v>
      </c>
      <c r="H46" s="408" t="s">
        <v>202</v>
      </c>
      <c r="I46" s="409"/>
      <c r="J46" s="101" t="s">
        <v>185</v>
      </c>
      <c r="K46" s="102" t="s">
        <v>73</v>
      </c>
      <c r="L46" s="102" t="s">
        <v>186</v>
      </c>
      <c r="M46" s="102" t="s">
        <v>56</v>
      </c>
      <c r="N46" s="102" t="s">
        <v>57</v>
      </c>
    </row>
    <row r="47" spans="1:14" ht="15" x14ac:dyDescent="0.25">
      <c r="H47" s="415"/>
      <c r="I47" s="416"/>
      <c r="J47" s="97">
        <v>35</v>
      </c>
      <c r="K47" s="317">
        <v>0.08</v>
      </c>
      <c r="L47" s="103">
        <f>K47*M41</f>
        <v>35.635076129032271</v>
      </c>
      <c r="M47" s="103">
        <f>M41+L47</f>
        <v>481.07352774193561</v>
      </c>
      <c r="N47" s="103">
        <f>M47*I31</f>
        <v>10415.241875612905</v>
      </c>
    </row>
    <row r="48" spans="1:14" ht="6" customHeight="1" x14ac:dyDescent="0.2"/>
    <row r="49" spans="1:15" ht="15" customHeight="1" x14ac:dyDescent="0.25">
      <c r="A49" s="17" t="s">
        <v>209</v>
      </c>
      <c r="B49" s="26" t="s">
        <v>37</v>
      </c>
      <c r="C49" s="36">
        <f>C46/12</f>
        <v>-611.32138345721933</v>
      </c>
      <c r="E49" s="26" t="s">
        <v>37</v>
      </c>
      <c r="F49" s="36">
        <f>F46/12</f>
        <v>-852.99647054187699</v>
      </c>
      <c r="H49" s="408" t="s">
        <v>201</v>
      </c>
      <c r="I49" s="409"/>
      <c r="J49" s="281" t="s">
        <v>185</v>
      </c>
      <c r="K49" s="289" t="s">
        <v>204</v>
      </c>
      <c r="L49" s="102" t="s">
        <v>187</v>
      </c>
      <c r="M49" s="102" t="s">
        <v>56</v>
      </c>
      <c r="N49" s="102" t="s">
        <v>57</v>
      </c>
    </row>
    <row r="50" spans="1:15" ht="15" customHeight="1" x14ac:dyDescent="0.25">
      <c r="A50" s="254"/>
      <c r="B50" s="255"/>
      <c r="C50" s="256"/>
      <c r="E50" s="255"/>
      <c r="F50" s="256"/>
      <c r="H50" s="410"/>
      <c r="I50" s="411"/>
      <c r="J50" s="282">
        <f>J51*60</f>
        <v>18</v>
      </c>
      <c r="K50" s="295">
        <v>15</v>
      </c>
      <c r="L50" s="103">
        <f>H44*K51</f>
        <v>227.2645161290323</v>
      </c>
      <c r="M50" s="103">
        <f>L44+J44+L50</f>
        <v>672.70296774193571</v>
      </c>
      <c r="N50" s="103">
        <f>M50*I31</f>
        <v>14564.019251612906</v>
      </c>
    </row>
    <row r="51" spans="1:15" ht="15" x14ac:dyDescent="0.25">
      <c r="H51" s="283"/>
      <c r="I51" s="284" t="s">
        <v>177</v>
      </c>
      <c r="J51" s="257">
        <v>0.3</v>
      </c>
      <c r="K51" s="294">
        <f>K50*J51</f>
        <v>4.5</v>
      </c>
      <c r="L51" s="285"/>
      <c r="M51" s="285"/>
      <c r="N51" s="285"/>
    </row>
    <row r="52" spans="1:15" ht="5.25" customHeight="1" x14ac:dyDescent="0.2"/>
    <row r="53" spans="1:15" ht="14.25" customHeight="1" x14ac:dyDescent="0.2">
      <c r="A53" s="425" t="s">
        <v>203</v>
      </c>
      <c r="B53" s="425"/>
      <c r="C53" s="424">
        <f>C46/C11</f>
        <v>-6.8512933931863501E-2</v>
      </c>
      <c r="E53" s="413" t="s">
        <v>72</v>
      </c>
      <c r="F53" s="412">
        <f>F46/F11</f>
        <v>-7.6032892424808735E-2</v>
      </c>
      <c r="H53" s="119"/>
      <c r="I53" s="119"/>
      <c r="J53" s="421" t="s">
        <v>158</v>
      </c>
      <c r="K53" s="423">
        <f>C53</f>
        <v>-6.8512933931863501E-2</v>
      </c>
      <c r="L53" s="426" t="s">
        <v>159</v>
      </c>
      <c r="M53" s="427">
        <f>F53</f>
        <v>-7.6032892424808735E-2</v>
      </c>
      <c r="N53" s="119"/>
    </row>
    <row r="54" spans="1:15" ht="14.25" customHeight="1" x14ac:dyDescent="0.2">
      <c r="A54" s="425"/>
      <c r="B54" s="425"/>
      <c r="C54" s="424"/>
      <c r="E54" s="413"/>
      <c r="F54" s="412"/>
      <c r="H54" s="98"/>
      <c r="I54" s="98"/>
      <c r="J54" s="422"/>
      <c r="K54" s="423"/>
      <c r="L54" s="426"/>
      <c r="M54" s="427"/>
      <c r="N54" s="98"/>
    </row>
    <row r="55" spans="1:15" ht="6" customHeight="1" x14ac:dyDescent="0.2"/>
    <row r="56" spans="1:15" ht="14.25" customHeight="1" x14ac:dyDescent="0.25">
      <c r="J56" s="392" t="s">
        <v>252</v>
      </c>
      <c r="K56" s="399">
        <v>44682</v>
      </c>
      <c r="L56" s="397" t="s">
        <v>251</v>
      </c>
      <c r="M56" s="400">
        <v>44501</v>
      </c>
    </row>
    <row r="57" spans="1:15" ht="14.25" customHeight="1" x14ac:dyDescent="0.2">
      <c r="G57" s="39"/>
      <c r="H57" s="39"/>
      <c r="I57" s="39"/>
      <c r="J57" s="391" t="s">
        <v>248</v>
      </c>
      <c r="K57" s="393">
        <v>4.5</v>
      </c>
      <c r="L57" s="395" t="s">
        <v>248</v>
      </c>
      <c r="M57" s="396">
        <v>2</v>
      </c>
      <c r="N57" s="39"/>
      <c r="O57" s="39"/>
    </row>
    <row r="58" spans="1:15" ht="14.25" customHeight="1" x14ac:dyDescent="0.2">
      <c r="G58" s="39"/>
      <c r="H58" s="39"/>
      <c r="I58" s="39"/>
      <c r="J58" s="391" t="s">
        <v>249</v>
      </c>
      <c r="K58" s="393">
        <v>2.2000000000000002</v>
      </c>
      <c r="L58" s="395" t="s">
        <v>249</v>
      </c>
      <c r="M58" s="396">
        <v>1.1000000000000001</v>
      </c>
      <c r="N58" s="39"/>
      <c r="O58" s="39"/>
    </row>
    <row r="59" spans="1:15" ht="14.25" customHeight="1" x14ac:dyDescent="0.25">
      <c r="J59" s="392" t="s">
        <v>138</v>
      </c>
      <c r="K59" s="394">
        <v>35</v>
      </c>
      <c r="L59" s="397" t="s">
        <v>250</v>
      </c>
      <c r="M59" s="398">
        <v>0.3</v>
      </c>
    </row>
    <row r="60" spans="1:15" ht="13.5" customHeight="1" x14ac:dyDescent="0.25">
      <c r="J60" s="390"/>
      <c r="K60" s="390"/>
      <c r="L60" s="231"/>
      <c r="M60" s="231"/>
    </row>
    <row r="61" spans="1:15" ht="14.25" customHeight="1" x14ac:dyDescent="0.2"/>
    <row r="62" spans="1:15" ht="14.25" customHeight="1" x14ac:dyDescent="0.2"/>
    <row r="63" spans="1:15" x14ac:dyDescent="0.2">
      <c r="H63" s="40"/>
      <c r="I63" s="40"/>
      <c r="J63" s="40"/>
      <c r="K63" s="40"/>
      <c r="L63" s="40"/>
      <c r="M63" s="40"/>
      <c r="N63" s="40"/>
    </row>
    <row r="64" spans="1:15" x14ac:dyDescent="0.2">
      <c r="H64" s="40"/>
      <c r="I64" s="40"/>
      <c r="J64" s="40"/>
      <c r="K64" s="40"/>
      <c r="L64" s="40"/>
      <c r="M64" s="40"/>
      <c r="N64" s="40"/>
    </row>
    <row r="65" spans="8:14" x14ac:dyDescent="0.2">
      <c r="H65" s="40"/>
      <c r="I65" s="40"/>
      <c r="J65" s="40"/>
      <c r="K65" s="40"/>
      <c r="L65" s="40"/>
      <c r="M65" s="40"/>
      <c r="N65" s="40"/>
    </row>
  </sheetData>
  <sheetProtection sheet="1" objects="1" scenarios="1"/>
  <mergeCells count="25">
    <mergeCell ref="C53:C54"/>
    <mergeCell ref="A53:B54"/>
    <mergeCell ref="L53:L54"/>
    <mergeCell ref="M53:M54"/>
    <mergeCell ref="E2:F3"/>
    <mergeCell ref="H23:N25"/>
    <mergeCell ref="H13:N16"/>
    <mergeCell ref="A2:A3"/>
    <mergeCell ref="H8:N11"/>
    <mergeCell ref="E29:F29"/>
    <mergeCell ref="B2:C3"/>
    <mergeCell ref="I22:N22"/>
    <mergeCell ref="H29:L29"/>
    <mergeCell ref="H2:N3"/>
    <mergeCell ref="H5:N6"/>
    <mergeCell ref="H34:N34"/>
    <mergeCell ref="H49:I50"/>
    <mergeCell ref="F53:F54"/>
    <mergeCell ref="E53:E54"/>
    <mergeCell ref="K36:M36"/>
    <mergeCell ref="H46:I47"/>
    <mergeCell ref="H36:I36"/>
    <mergeCell ref="H41:K41"/>
    <mergeCell ref="J53:J54"/>
    <mergeCell ref="K53:K54"/>
  </mergeCells>
  <phoneticPr fontId="31" type="noConversion"/>
  <printOptions horizontalCentered="1"/>
  <pageMargins left="0.70866141732283472" right="0.70866141732283472" top="0.78740157480314965" bottom="0.78740157480314965" header="0.31496062992125984" footer="0.31496062992125984"/>
  <pageSetup paperSize="9" scale="74" orientation="landscape" horizontalDpi="300" verticalDpi="300" r:id="rId1"/>
  <colBreaks count="1" manualBreakCount="1">
    <brk id="7" max="1048575" man="1"/>
  </colBreaks>
  <ignoredErrors>
    <ignoredError sqref="E14:E17" unlockedFormula="1"/>
    <ignoredError sqref="C38:D38 F38"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2:M29"/>
  <sheetViews>
    <sheetView showGridLines="0" zoomScale="90" zoomScaleNormal="90" workbookViewId="0">
      <selection activeCell="F8" sqref="F8"/>
    </sheetView>
  </sheetViews>
  <sheetFormatPr baseColWidth="10" defaultRowHeight="12.75" x14ac:dyDescent="0.2"/>
  <cols>
    <col min="2" max="2" width="21.7109375" bestFit="1" customWidth="1"/>
    <col min="3" max="3" width="24.140625" customWidth="1"/>
    <col min="4" max="4" width="2.140625" customWidth="1"/>
    <col min="5" max="5" width="23.140625" bestFit="1" customWidth="1"/>
    <col min="6" max="6" width="11.7109375" bestFit="1" customWidth="1"/>
    <col min="7" max="7" width="35.42578125" customWidth="1"/>
    <col min="8" max="8" width="3.140625" customWidth="1"/>
    <col min="9" max="9" width="13.140625" bestFit="1" customWidth="1"/>
    <col min="10" max="10" width="13.140625" customWidth="1"/>
    <col min="11" max="11" width="16.85546875" customWidth="1"/>
    <col min="12" max="12" width="17.28515625" customWidth="1"/>
    <col min="13" max="13" width="13.140625" customWidth="1"/>
    <col min="14" max="14" width="13.85546875" bestFit="1" customWidth="1"/>
    <col min="15" max="15" width="2.42578125" bestFit="1" customWidth="1"/>
    <col min="16" max="16" width="6" bestFit="1" customWidth="1"/>
    <col min="17" max="17" width="12.140625" customWidth="1"/>
  </cols>
  <sheetData>
    <row r="2" spans="1:13" ht="15" x14ac:dyDescent="0.25">
      <c r="A2" s="370"/>
      <c r="B2" s="370"/>
      <c r="C2" s="370"/>
      <c r="E2" s="371" t="s">
        <v>240</v>
      </c>
      <c r="F2" s="369">
        <v>1.5</v>
      </c>
      <c r="G2" s="367" t="s">
        <v>220</v>
      </c>
      <c r="I2" s="216" t="s">
        <v>68</v>
      </c>
    </row>
    <row r="3" spans="1:13" ht="47.25" customHeight="1" x14ac:dyDescent="0.2">
      <c r="A3" s="454" t="s">
        <v>69</v>
      </c>
      <c r="B3" s="454"/>
      <c r="C3" s="454"/>
      <c r="E3" s="371" t="s">
        <v>240</v>
      </c>
      <c r="F3" s="368">
        <f>F2/119*100</f>
        <v>1.2605042016806722</v>
      </c>
      <c r="G3" s="372" t="s">
        <v>219</v>
      </c>
      <c r="I3" s="446" t="s">
        <v>242</v>
      </c>
      <c r="J3" s="446"/>
      <c r="K3" s="446"/>
      <c r="L3" s="384"/>
    </row>
    <row r="4" spans="1:13" ht="18" customHeight="1" x14ac:dyDescent="0.2">
      <c r="I4" s="384"/>
      <c r="J4" s="384"/>
      <c r="K4" s="384"/>
      <c r="L4" s="384"/>
    </row>
    <row r="5" spans="1:13" ht="15" x14ac:dyDescent="0.2">
      <c r="A5" s="449" t="s">
        <v>64</v>
      </c>
      <c r="B5" s="449"/>
      <c r="C5" s="449"/>
      <c r="E5" s="449" t="s">
        <v>66</v>
      </c>
      <c r="F5" s="449"/>
      <c r="G5" s="43" t="s">
        <v>107</v>
      </c>
      <c r="I5" s="385" t="s">
        <v>243</v>
      </c>
      <c r="J5" s="382"/>
      <c r="K5" s="382"/>
      <c r="L5" s="382"/>
    </row>
    <row r="6" spans="1:13" ht="15" x14ac:dyDescent="0.2">
      <c r="A6" s="43"/>
      <c r="B6" s="451"/>
      <c r="C6" s="451"/>
      <c r="E6" s="43"/>
      <c r="F6" s="43"/>
      <c r="G6" s="43"/>
      <c r="I6" s="447" t="s">
        <v>244</v>
      </c>
      <c r="J6" s="447"/>
      <c r="K6" s="447"/>
      <c r="L6" s="383"/>
    </row>
    <row r="7" spans="1:13" ht="14.25" customHeight="1" x14ac:dyDescent="0.25">
      <c r="A7" s="43"/>
      <c r="B7" s="43"/>
      <c r="C7" s="43"/>
      <c r="E7" s="77" t="s">
        <v>40</v>
      </c>
      <c r="F7" s="80">
        <v>100</v>
      </c>
      <c r="G7" s="43"/>
      <c r="I7" s="447"/>
      <c r="J7" s="447"/>
      <c r="K7" s="447"/>
      <c r="L7" s="384"/>
      <c r="M7" s="206"/>
    </row>
    <row r="8" spans="1:13" ht="15" x14ac:dyDescent="0.25">
      <c r="A8" s="43"/>
      <c r="B8" s="44" t="s">
        <v>26</v>
      </c>
      <c r="C8" s="59">
        <f>'Taxi - Mietwagen'!K38</f>
        <v>313.12000000000006</v>
      </c>
      <c r="E8" s="44" t="s">
        <v>41</v>
      </c>
      <c r="F8" s="5">
        <v>7</v>
      </c>
      <c r="G8" s="45" t="s">
        <v>59</v>
      </c>
      <c r="I8" s="447"/>
      <c r="J8" s="447"/>
      <c r="K8" s="447"/>
      <c r="L8" s="384"/>
      <c r="M8" s="206"/>
    </row>
    <row r="9" spans="1:13" ht="24.6" customHeight="1" x14ac:dyDescent="0.25">
      <c r="A9" s="43"/>
      <c r="B9" s="43"/>
      <c r="C9" s="43"/>
      <c r="E9" s="77" t="s">
        <v>43</v>
      </c>
      <c r="F9" s="78">
        <f>F8/F7</f>
        <v>7.0000000000000007E-2</v>
      </c>
      <c r="G9" s="43"/>
      <c r="I9" s="447"/>
      <c r="J9" s="447"/>
      <c r="K9" s="447"/>
      <c r="L9" s="384"/>
      <c r="M9" s="206"/>
    </row>
    <row r="10" spans="1:13" ht="14.25" customHeight="1" x14ac:dyDescent="0.25">
      <c r="A10" s="43"/>
      <c r="B10" s="43"/>
      <c r="C10" s="43"/>
      <c r="E10" s="44" t="s">
        <v>39</v>
      </c>
      <c r="F10" s="373">
        <f>F3</f>
        <v>1.2605042016806722</v>
      </c>
      <c r="G10" s="45" t="s">
        <v>239</v>
      </c>
      <c r="I10" s="384"/>
      <c r="J10" s="384"/>
      <c r="K10" s="384"/>
      <c r="L10" s="384"/>
      <c r="M10" s="206"/>
    </row>
    <row r="11" spans="1:13" ht="14.45" customHeight="1" x14ac:dyDescent="0.25">
      <c r="A11" s="43"/>
      <c r="B11" s="62"/>
      <c r="C11" s="63"/>
      <c r="E11" s="77" t="s">
        <v>42</v>
      </c>
      <c r="F11" s="79">
        <f>F10*F9</f>
        <v>8.8235294117647065E-2</v>
      </c>
      <c r="G11" s="362"/>
      <c r="I11" s="206"/>
      <c r="J11" s="206"/>
      <c r="K11" s="206"/>
      <c r="L11" s="206"/>
      <c r="M11" s="206"/>
    </row>
    <row r="12" spans="1:13" ht="15" x14ac:dyDescent="0.2">
      <c r="A12" s="43"/>
      <c r="B12" s="57" t="s">
        <v>241</v>
      </c>
      <c r="C12" s="65">
        <v>0.4</v>
      </c>
      <c r="E12" s="46" t="s">
        <v>68</v>
      </c>
      <c r="F12" s="365">
        <f>C16</f>
        <v>285722</v>
      </c>
      <c r="G12" s="47"/>
      <c r="I12" s="206"/>
      <c r="J12" s="206"/>
      <c r="K12" s="206"/>
      <c r="L12" s="206"/>
      <c r="M12" s="206"/>
    </row>
    <row r="13" spans="1:13" ht="5.25" customHeight="1" x14ac:dyDescent="0.2">
      <c r="A13" s="43"/>
      <c r="B13" s="43"/>
      <c r="C13" s="43"/>
      <c r="E13" s="43"/>
      <c r="F13" s="43"/>
      <c r="G13" s="43"/>
      <c r="I13" s="206"/>
      <c r="J13" s="206"/>
      <c r="K13" s="206"/>
      <c r="L13" s="206"/>
      <c r="M13" s="206"/>
    </row>
    <row r="14" spans="1:13" s="74" customFormat="1" ht="15" customHeight="1" x14ac:dyDescent="0.2">
      <c r="A14" s="48"/>
      <c r="B14" s="114" t="s">
        <v>71</v>
      </c>
      <c r="C14" s="115">
        <f>C8/C12*100%</f>
        <v>782.80000000000007</v>
      </c>
      <c r="E14" s="46" t="s">
        <v>61</v>
      </c>
      <c r="F14" s="75">
        <f>F12*F11</f>
        <v>25210.764705882353</v>
      </c>
      <c r="G14" s="48" t="s">
        <v>60</v>
      </c>
      <c r="I14" s="206"/>
      <c r="J14" s="206"/>
      <c r="K14" s="206"/>
      <c r="L14" s="206"/>
      <c r="M14" s="206"/>
    </row>
    <row r="15" spans="1:13" x14ac:dyDescent="0.2">
      <c r="A15" s="43"/>
      <c r="B15" s="43"/>
      <c r="C15" s="43"/>
      <c r="E15" s="68" t="s">
        <v>63</v>
      </c>
      <c r="F15" s="69">
        <f>'Taxi - Mietwagen'!C11</f>
        <v>107072.58002966538</v>
      </c>
      <c r="G15" s="70" t="s">
        <v>54</v>
      </c>
      <c r="I15" s="206"/>
      <c r="J15" s="206"/>
      <c r="K15" s="206"/>
      <c r="L15" s="206"/>
      <c r="M15" s="206"/>
    </row>
    <row r="16" spans="1:13" ht="25.5" x14ac:dyDescent="0.2">
      <c r="A16" s="43"/>
      <c r="B16" s="66" t="s">
        <v>68</v>
      </c>
      <c r="C16" s="360">
        <f>C14*365</f>
        <v>285722</v>
      </c>
      <c r="E16" s="57" t="s">
        <v>62</v>
      </c>
      <c r="F16" s="49">
        <f>F14/F15</f>
        <v>0.2354549101076811</v>
      </c>
      <c r="G16" s="147" t="str">
        <f>'Nachtzuschlag Rechner '!$T$16</f>
        <v>Dieser Wert wird in die Taxi - Mietwagen Tabelle übertragen.</v>
      </c>
      <c r="I16" s="206"/>
      <c r="J16" s="206"/>
      <c r="K16" s="206"/>
      <c r="L16" s="206"/>
      <c r="M16" s="206"/>
    </row>
    <row r="17" spans="1:12" ht="7.5" customHeight="1" x14ac:dyDescent="0.2">
      <c r="I17" s="206"/>
      <c r="J17" s="206"/>
      <c r="K17" s="206"/>
      <c r="L17" s="206"/>
    </row>
    <row r="18" spans="1:12" ht="12.95" customHeight="1" x14ac:dyDescent="0.2">
      <c r="A18" s="450" t="s">
        <v>65</v>
      </c>
      <c r="B18" s="450"/>
      <c r="C18" s="450"/>
      <c r="E18" s="450" t="s">
        <v>67</v>
      </c>
      <c r="F18" s="450"/>
      <c r="G18" s="50" t="s">
        <v>107</v>
      </c>
    </row>
    <row r="19" spans="1:12" x14ac:dyDescent="0.2">
      <c r="A19" s="50"/>
      <c r="B19" s="453"/>
      <c r="C19" s="453"/>
      <c r="E19" s="50"/>
      <c r="F19" s="50"/>
      <c r="G19" s="50"/>
      <c r="J19" s="206"/>
      <c r="K19" s="206"/>
      <c r="L19" s="206"/>
    </row>
    <row r="20" spans="1:12" ht="15" x14ac:dyDescent="0.25">
      <c r="A20" s="50"/>
      <c r="B20" s="50"/>
      <c r="C20" s="50"/>
      <c r="E20" s="81" t="s">
        <v>40</v>
      </c>
      <c r="F20" s="82">
        <v>100</v>
      </c>
      <c r="G20" s="50"/>
      <c r="I20" s="206"/>
      <c r="J20" s="206"/>
      <c r="K20" s="206"/>
      <c r="L20" s="206"/>
    </row>
    <row r="21" spans="1:12" ht="15" x14ac:dyDescent="0.25">
      <c r="A21" s="50"/>
      <c r="B21" s="51" t="s">
        <v>26</v>
      </c>
      <c r="C21" s="60">
        <f>'Taxi - Mietwagen'!K38</f>
        <v>313.12000000000006</v>
      </c>
      <c r="E21" s="51" t="s">
        <v>41</v>
      </c>
      <c r="F21" s="5">
        <v>7</v>
      </c>
      <c r="G21" s="52" t="s">
        <v>59</v>
      </c>
      <c r="I21" s="206"/>
      <c r="J21" s="206"/>
      <c r="K21" s="206"/>
      <c r="L21" s="206"/>
    </row>
    <row r="22" spans="1:12" ht="15" x14ac:dyDescent="0.25">
      <c r="A22" s="50"/>
      <c r="B22" s="64"/>
      <c r="C22" s="61"/>
      <c r="E22" s="81" t="s">
        <v>43</v>
      </c>
      <c r="F22" s="83">
        <f>F21/F20</f>
        <v>7.0000000000000007E-2</v>
      </c>
      <c r="G22" s="50"/>
      <c r="I22" s="206"/>
      <c r="J22" s="206"/>
      <c r="K22" s="206"/>
      <c r="L22" s="206"/>
    </row>
    <row r="23" spans="1:12" ht="18.75" customHeight="1" x14ac:dyDescent="0.25">
      <c r="A23" s="452" t="s">
        <v>70</v>
      </c>
      <c r="B23" s="452"/>
      <c r="C23" s="452"/>
      <c r="E23" s="51" t="s">
        <v>39</v>
      </c>
      <c r="F23" s="374">
        <f>F3</f>
        <v>1.2605042016806722</v>
      </c>
      <c r="G23" s="52" t="s">
        <v>239</v>
      </c>
      <c r="I23" s="206"/>
      <c r="J23" s="206"/>
      <c r="K23" s="206"/>
      <c r="L23" s="206"/>
    </row>
    <row r="24" spans="1:12" ht="24.6" customHeight="1" x14ac:dyDescent="0.25">
      <c r="A24" s="448" t="s">
        <v>106</v>
      </c>
      <c r="B24" s="448"/>
      <c r="C24" s="448"/>
      <c r="E24" s="81" t="s">
        <v>42</v>
      </c>
      <c r="F24" s="84">
        <f>F23*F22</f>
        <v>8.8235294117647065E-2</v>
      </c>
      <c r="G24" s="50"/>
      <c r="I24" s="206"/>
      <c r="J24" s="206"/>
      <c r="K24" s="206"/>
      <c r="L24" s="206"/>
    </row>
    <row r="25" spans="1:12" ht="15" x14ac:dyDescent="0.2">
      <c r="A25" s="50"/>
      <c r="B25" s="58" t="s">
        <v>241</v>
      </c>
      <c r="C25" s="65">
        <v>0.4</v>
      </c>
      <c r="E25" s="53" t="s">
        <v>68</v>
      </c>
      <c r="F25" s="366">
        <f>C29</f>
        <v>285722</v>
      </c>
      <c r="G25" s="54"/>
      <c r="I25" s="206"/>
      <c r="J25" s="206"/>
      <c r="K25" s="206"/>
      <c r="L25" s="206"/>
    </row>
    <row r="26" spans="1:12" ht="7.5" customHeight="1" x14ac:dyDescent="0.2">
      <c r="A26" s="50"/>
      <c r="B26" s="50"/>
      <c r="C26" s="50"/>
      <c r="E26" s="50"/>
      <c r="F26" s="50"/>
      <c r="G26" s="50"/>
      <c r="I26" s="206"/>
      <c r="J26" s="206"/>
      <c r="K26" s="206"/>
      <c r="L26" s="206"/>
    </row>
    <row r="27" spans="1:12" s="74" customFormat="1" ht="15" customHeight="1" x14ac:dyDescent="0.2">
      <c r="A27" s="55"/>
      <c r="B27" s="113" t="s">
        <v>71</v>
      </c>
      <c r="C27" s="112">
        <f>C21/C25*100%</f>
        <v>782.80000000000007</v>
      </c>
      <c r="E27" s="53" t="s">
        <v>61</v>
      </c>
      <c r="F27" s="76">
        <f>F25*F24</f>
        <v>25210.764705882353</v>
      </c>
      <c r="G27" s="55" t="s">
        <v>60</v>
      </c>
      <c r="I27"/>
      <c r="J27"/>
      <c r="K27"/>
      <c r="L27"/>
    </row>
    <row r="28" spans="1:12" ht="19.5" customHeight="1" x14ac:dyDescent="0.2">
      <c r="A28" s="50"/>
      <c r="B28" s="50"/>
      <c r="C28" s="50"/>
      <c r="E28" s="71" t="s">
        <v>63</v>
      </c>
      <c r="F28" s="72">
        <f>'Taxi - Mietwagen'!F11</f>
        <v>134625.38804011932</v>
      </c>
      <c r="G28" s="73" t="s">
        <v>53</v>
      </c>
      <c r="I28" s="74"/>
      <c r="J28" s="74"/>
      <c r="K28" s="74"/>
      <c r="L28" s="74"/>
    </row>
    <row r="29" spans="1:12" ht="30" customHeight="1" x14ac:dyDescent="0.2">
      <c r="A29" s="50"/>
      <c r="B29" s="67" t="s">
        <v>68</v>
      </c>
      <c r="C29" s="361">
        <f>C27*365</f>
        <v>285722</v>
      </c>
      <c r="E29" s="58" t="s">
        <v>62</v>
      </c>
      <c r="F29" s="56">
        <f>F27/F28</f>
        <v>0.18726605043002265</v>
      </c>
      <c r="G29" s="148" t="s">
        <v>123</v>
      </c>
    </row>
  </sheetData>
  <sheetProtection sheet="1" objects="1" scenarios="1"/>
  <mergeCells count="11">
    <mergeCell ref="I3:K3"/>
    <mergeCell ref="I6:K9"/>
    <mergeCell ref="A24:C24"/>
    <mergeCell ref="E5:F5"/>
    <mergeCell ref="E18:F18"/>
    <mergeCell ref="B6:C6"/>
    <mergeCell ref="A23:C23"/>
    <mergeCell ref="B19:C19"/>
    <mergeCell ref="A3:C3"/>
    <mergeCell ref="A18:C18"/>
    <mergeCell ref="A5:C5"/>
  </mergeCells>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CDDC"/>
  </sheetPr>
  <dimension ref="A1:AG43"/>
  <sheetViews>
    <sheetView showGridLines="0" workbookViewId="0">
      <selection activeCell="N26" sqref="N26"/>
    </sheetView>
  </sheetViews>
  <sheetFormatPr baseColWidth="10" defaultRowHeight="12.75" x14ac:dyDescent="0.2"/>
  <cols>
    <col min="1" max="1" width="12.42578125" bestFit="1" customWidth="1"/>
    <col min="2" max="2" width="6.28515625" bestFit="1" customWidth="1"/>
    <col min="3" max="3" width="3.42578125" bestFit="1" customWidth="1"/>
    <col min="4" max="5" width="2.85546875" bestFit="1" customWidth="1"/>
    <col min="6" max="6" width="3.140625" bestFit="1" customWidth="1"/>
    <col min="7" max="7" width="2.85546875" bestFit="1" customWidth="1"/>
    <col min="8" max="9" width="3" bestFit="1" customWidth="1"/>
    <col min="10" max="10" width="3" customWidth="1"/>
    <col min="11" max="11" width="6.28515625" bestFit="1" customWidth="1"/>
    <col min="12" max="12" width="3.42578125" bestFit="1" customWidth="1"/>
    <col min="13" max="13" width="3" bestFit="1" customWidth="1"/>
    <col min="14" max="14" width="2.7109375" bestFit="1" customWidth="1"/>
    <col min="15" max="15" width="3.140625" bestFit="1" customWidth="1"/>
    <col min="16" max="16" width="2.85546875" bestFit="1" customWidth="1"/>
    <col min="17" max="18" width="3" bestFit="1" customWidth="1"/>
    <col min="19" max="19" width="3.85546875" customWidth="1"/>
    <col min="20" max="20" width="8.28515625" bestFit="1" customWidth="1"/>
    <col min="21" max="21" width="17.5703125" bestFit="1" customWidth="1"/>
    <col min="22" max="22" width="12.85546875" customWidth="1"/>
    <col min="24" max="24" width="13.140625" bestFit="1" customWidth="1"/>
    <col min="30" max="30" width="13.5703125" bestFit="1" customWidth="1"/>
  </cols>
  <sheetData>
    <row r="1" spans="2:33" ht="15" x14ac:dyDescent="0.25">
      <c r="B1" s="456" t="s">
        <v>124</v>
      </c>
      <c r="C1" s="456"/>
      <c r="D1" s="456"/>
      <c r="E1" s="456"/>
      <c r="F1" s="456"/>
      <c r="G1" s="456"/>
      <c r="H1" s="456"/>
      <c r="I1" s="456"/>
      <c r="J1" s="456"/>
      <c r="K1" s="456"/>
      <c r="L1" s="456"/>
      <c r="M1" s="456"/>
      <c r="N1" s="456"/>
      <c r="O1" s="456"/>
      <c r="P1" s="456"/>
      <c r="Q1" s="456"/>
      <c r="R1" s="456"/>
      <c r="T1" s="446" t="s">
        <v>104</v>
      </c>
      <c r="U1" s="446"/>
      <c r="V1" s="446"/>
      <c r="W1" s="446"/>
      <c r="X1" s="446"/>
      <c r="Y1" s="446"/>
      <c r="Z1" s="446"/>
      <c r="AA1" s="446"/>
    </row>
    <row r="2" spans="2:33" ht="15" x14ac:dyDescent="0.25">
      <c r="B2" s="190"/>
      <c r="C2" s="456" t="s">
        <v>94</v>
      </c>
      <c r="D2" s="456"/>
      <c r="E2" s="456"/>
      <c r="F2" s="456"/>
      <c r="G2" s="456"/>
      <c r="H2" s="456"/>
      <c r="I2" s="456"/>
      <c r="J2" s="191"/>
      <c r="K2" s="190"/>
      <c r="L2" s="456" t="s">
        <v>95</v>
      </c>
      <c r="M2" s="456"/>
      <c r="N2" s="456"/>
      <c r="O2" s="456"/>
      <c r="P2" s="456"/>
      <c r="Q2" s="456"/>
      <c r="R2" s="456"/>
      <c r="T2" s="446"/>
      <c r="U2" s="446"/>
      <c r="V2" s="446"/>
      <c r="W2" s="446"/>
      <c r="X2" s="446"/>
      <c r="Y2" s="446"/>
      <c r="Z2" s="446"/>
      <c r="AA2" s="446"/>
    </row>
    <row r="3" spans="2:33" x14ac:dyDescent="0.2">
      <c r="B3" s="131" t="s">
        <v>96</v>
      </c>
      <c r="C3" s="131" t="s">
        <v>97</v>
      </c>
      <c r="D3" s="131" t="s">
        <v>98</v>
      </c>
      <c r="E3" s="131" t="s">
        <v>99</v>
      </c>
      <c r="F3" s="131" t="s">
        <v>100</v>
      </c>
      <c r="G3" s="131" t="s">
        <v>101</v>
      </c>
      <c r="H3" s="131" t="s">
        <v>102</v>
      </c>
      <c r="I3" s="131" t="s">
        <v>103</v>
      </c>
      <c r="J3" s="131"/>
      <c r="K3" s="131" t="s">
        <v>96</v>
      </c>
      <c r="L3" s="131" t="s">
        <v>97</v>
      </c>
      <c r="M3" s="131" t="s">
        <v>98</v>
      </c>
      <c r="N3" s="131" t="s">
        <v>99</v>
      </c>
      <c r="O3" s="131" t="s">
        <v>100</v>
      </c>
      <c r="P3" s="131" t="s">
        <v>101</v>
      </c>
      <c r="Q3" s="131" t="s">
        <v>102</v>
      </c>
      <c r="R3" s="131" t="s">
        <v>103</v>
      </c>
      <c r="T3" s="132"/>
      <c r="U3" s="132"/>
      <c r="V3" s="132"/>
    </row>
    <row r="4" spans="2:33" ht="15" x14ac:dyDescent="0.25">
      <c r="B4" s="104">
        <v>0.95833333333333304</v>
      </c>
      <c r="C4" s="207"/>
      <c r="D4" s="207"/>
      <c r="E4" s="207"/>
      <c r="F4" s="207"/>
      <c r="G4" s="207"/>
      <c r="H4" s="207"/>
      <c r="I4" s="207"/>
      <c r="J4" s="108"/>
      <c r="K4" s="105">
        <v>0.29166666666666702</v>
      </c>
      <c r="L4" s="207"/>
      <c r="M4" s="207"/>
      <c r="N4" s="207"/>
      <c r="O4" s="207"/>
      <c r="P4" s="207"/>
      <c r="Q4" s="207"/>
      <c r="R4" s="207"/>
      <c r="T4" s="457"/>
      <c r="U4" s="457"/>
      <c r="V4" s="457"/>
      <c r="AD4" s="41"/>
      <c r="AE4" s="41"/>
      <c r="AF4" s="41"/>
      <c r="AG4" s="41"/>
    </row>
    <row r="5" spans="2:33" ht="15" x14ac:dyDescent="0.25">
      <c r="B5" s="104">
        <v>0</v>
      </c>
      <c r="C5" s="207"/>
      <c r="D5" s="207"/>
      <c r="E5" s="207"/>
      <c r="F5" s="207"/>
      <c r="G5" s="207"/>
      <c r="H5" s="207"/>
      <c r="I5" s="207"/>
      <c r="J5" s="108"/>
      <c r="K5" s="105">
        <v>0.33333333333333298</v>
      </c>
      <c r="L5" s="207"/>
      <c r="M5" s="207"/>
      <c r="N5" s="207"/>
      <c r="O5" s="207"/>
      <c r="P5" s="207"/>
      <c r="Q5" s="207"/>
      <c r="R5" s="207"/>
      <c r="T5" s="457"/>
      <c r="U5" s="457"/>
      <c r="V5" s="457"/>
      <c r="AD5" s="41" t="s">
        <v>45</v>
      </c>
      <c r="AE5" s="41" t="s">
        <v>44</v>
      </c>
      <c r="AF5" s="41">
        <v>4.33</v>
      </c>
      <c r="AG5" s="41" t="s">
        <v>46</v>
      </c>
    </row>
    <row r="6" spans="2:33" ht="14.45" customHeight="1" x14ac:dyDescent="0.25">
      <c r="B6" s="106">
        <v>4.1666666666666699E-2</v>
      </c>
      <c r="C6" s="207"/>
      <c r="D6" s="207"/>
      <c r="E6" s="207"/>
      <c r="F6" s="207"/>
      <c r="G6" s="207"/>
      <c r="H6" s="207"/>
      <c r="I6" s="207"/>
      <c r="J6" s="108"/>
      <c r="K6" s="105">
        <v>0.375</v>
      </c>
      <c r="L6" s="207"/>
      <c r="M6" s="207"/>
      <c r="N6" s="207"/>
      <c r="O6" s="207"/>
      <c r="P6" s="207"/>
      <c r="Q6" s="207"/>
      <c r="R6" s="207"/>
      <c r="T6" s="457"/>
      <c r="U6" s="457"/>
      <c r="V6" s="457"/>
      <c r="AD6" s="42" t="s">
        <v>47</v>
      </c>
      <c r="AE6" s="41" t="s">
        <v>44</v>
      </c>
      <c r="AF6" s="41">
        <f>5*AF5</f>
        <v>21.65</v>
      </c>
      <c r="AG6" s="41"/>
    </row>
    <row r="7" spans="2:33" ht="15" x14ac:dyDescent="0.25">
      <c r="B7" s="104">
        <v>8.3333333333333301E-2</v>
      </c>
      <c r="C7" s="207"/>
      <c r="D7" s="207"/>
      <c r="E7" s="207"/>
      <c r="F7" s="207"/>
      <c r="G7" s="207"/>
      <c r="H7" s="207"/>
      <c r="I7" s="207"/>
      <c r="J7" s="108"/>
      <c r="K7" s="105">
        <v>0.41666666666666702</v>
      </c>
      <c r="L7" s="207"/>
      <c r="M7" s="207"/>
      <c r="N7" s="207"/>
      <c r="O7" s="207"/>
      <c r="P7" s="207"/>
      <c r="Q7" s="207"/>
      <c r="R7" s="207"/>
      <c r="T7" s="211">
        <f>B28+K28</f>
        <v>103</v>
      </c>
      <c r="U7" s="130" t="s">
        <v>195</v>
      </c>
      <c r="V7" s="120"/>
    </row>
    <row r="8" spans="2:33" ht="12.6" customHeight="1" x14ac:dyDescent="0.25">
      <c r="B8" s="104">
        <v>0.125</v>
      </c>
      <c r="C8" s="207"/>
      <c r="D8" s="207"/>
      <c r="E8" s="207"/>
      <c r="F8" s="207"/>
      <c r="G8" s="207"/>
      <c r="H8" s="207"/>
      <c r="I8" s="207"/>
      <c r="J8" s="108"/>
      <c r="K8" s="105">
        <v>0.45833333333333298</v>
      </c>
      <c r="L8" s="207"/>
      <c r="M8" s="207"/>
      <c r="N8" s="207"/>
      <c r="O8" s="207"/>
      <c r="P8" s="207"/>
      <c r="Q8" s="207"/>
      <c r="R8" s="207"/>
      <c r="T8" s="211">
        <v>4.33</v>
      </c>
      <c r="U8" s="120" t="s">
        <v>144</v>
      </c>
      <c r="V8" s="120"/>
    </row>
    <row r="9" spans="2:33" ht="15" customHeight="1" thickBot="1" x14ac:dyDescent="0.3">
      <c r="B9" s="209">
        <v>0.16666666666666699</v>
      </c>
      <c r="C9" s="210"/>
      <c r="D9" s="210"/>
      <c r="E9" s="210"/>
      <c r="F9" s="210"/>
      <c r="G9" s="210"/>
      <c r="H9" s="210"/>
      <c r="I9" s="210"/>
      <c r="J9" s="108"/>
      <c r="K9" s="105">
        <v>0.5</v>
      </c>
      <c r="L9" s="207"/>
      <c r="M9" s="207"/>
      <c r="N9" s="207"/>
      <c r="O9" s="207"/>
      <c r="P9" s="207"/>
      <c r="Q9" s="207"/>
      <c r="R9" s="207"/>
      <c r="T9" s="251">
        <f>T7*T8</f>
        <v>445.99</v>
      </c>
      <c r="U9" s="120" t="s">
        <v>145</v>
      </c>
      <c r="V9" s="120"/>
    </row>
    <row r="10" spans="2:33" ht="15.75" thickTop="1" x14ac:dyDescent="0.25">
      <c r="B10" s="106">
        <v>0.20833333333333301</v>
      </c>
      <c r="C10" s="208" t="s">
        <v>89</v>
      </c>
      <c r="D10" s="208" t="s">
        <v>89</v>
      </c>
      <c r="E10" s="208" t="s">
        <v>89</v>
      </c>
      <c r="F10" s="208" t="s">
        <v>89</v>
      </c>
      <c r="G10" s="208" t="s">
        <v>89</v>
      </c>
      <c r="H10" s="208"/>
      <c r="I10" s="208"/>
      <c r="J10" s="108"/>
      <c r="K10" s="105">
        <v>0.54166666666666696</v>
      </c>
      <c r="L10" s="207"/>
      <c r="M10" s="207"/>
      <c r="N10" s="207"/>
      <c r="O10" s="207"/>
      <c r="P10" s="207"/>
      <c r="Q10" s="207"/>
      <c r="R10" s="207"/>
      <c r="T10" s="212">
        <f>B29+K29</f>
        <v>20</v>
      </c>
      <c r="U10" s="130" t="s">
        <v>147</v>
      </c>
      <c r="V10" s="120"/>
    </row>
    <row r="11" spans="2:33" ht="15" x14ac:dyDescent="0.25">
      <c r="B11" s="104">
        <v>0.25</v>
      </c>
      <c r="C11" s="207" t="s">
        <v>89</v>
      </c>
      <c r="D11" s="207" t="s">
        <v>89</v>
      </c>
      <c r="E11" s="207" t="s">
        <v>89</v>
      </c>
      <c r="F11" s="207" t="s">
        <v>89</v>
      </c>
      <c r="G11" s="207" t="s">
        <v>89</v>
      </c>
      <c r="H11" s="207"/>
      <c r="I11" s="207"/>
      <c r="J11" s="107"/>
      <c r="K11" s="105">
        <v>0.58333333333333304</v>
      </c>
      <c r="L11" s="207"/>
      <c r="M11" s="207"/>
      <c r="N11" s="207"/>
      <c r="O11" s="207"/>
      <c r="P11" s="207"/>
      <c r="Q11" s="207"/>
      <c r="R11" s="207"/>
      <c r="T11" s="212">
        <f>T10*T8</f>
        <v>86.6</v>
      </c>
      <c r="U11" s="130" t="s">
        <v>148</v>
      </c>
      <c r="V11" s="120"/>
    </row>
    <row r="12" spans="2:33" ht="15" x14ac:dyDescent="0.25">
      <c r="B12" s="105">
        <v>0.29166666666666702</v>
      </c>
      <c r="C12" s="207" t="s">
        <v>89</v>
      </c>
      <c r="D12" s="207" t="s">
        <v>89</v>
      </c>
      <c r="E12" s="207" t="s">
        <v>89</v>
      </c>
      <c r="F12" s="207" t="s">
        <v>89</v>
      </c>
      <c r="G12" s="207" t="s">
        <v>89</v>
      </c>
      <c r="H12" s="207"/>
      <c r="I12" s="207"/>
      <c r="J12" s="107"/>
      <c r="K12" s="105">
        <v>0.625</v>
      </c>
      <c r="L12" s="207"/>
      <c r="M12" s="207"/>
      <c r="N12" s="207"/>
      <c r="O12" s="207"/>
      <c r="P12" s="207"/>
      <c r="Q12" s="207"/>
      <c r="R12" s="207"/>
      <c r="T12" s="211"/>
      <c r="U12" s="130"/>
      <c r="V12" s="120"/>
    </row>
    <row r="13" spans="2:33" ht="15" x14ac:dyDescent="0.25">
      <c r="B13" s="105">
        <v>0.33333333333333298</v>
      </c>
      <c r="C13" s="207" t="s">
        <v>89</v>
      </c>
      <c r="D13" s="207" t="s">
        <v>89</v>
      </c>
      <c r="E13" s="207" t="s">
        <v>89</v>
      </c>
      <c r="F13" s="207" t="s">
        <v>89</v>
      </c>
      <c r="G13" s="207" t="s">
        <v>89</v>
      </c>
      <c r="H13" s="207"/>
      <c r="I13" s="207"/>
      <c r="J13" s="107"/>
      <c r="K13" s="105">
        <v>0.66666666666666696</v>
      </c>
      <c r="L13" s="207" t="s">
        <v>89</v>
      </c>
      <c r="M13" s="207" t="s">
        <v>89</v>
      </c>
      <c r="N13" s="207"/>
      <c r="O13" s="207"/>
      <c r="P13" s="207"/>
      <c r="Q13" s="207"/>
      <c r="R13" s="207"/>
      <c r="T13" s="251">
        <f>T9/AF6</f>
        <v>20.6</v>
      </c>
      <c r="U13" s="130" t="s">
        <v>184</v>
      </c>
      <c r="V13" s="277"/>
    </row>
    <row r="14" spans="2:33" ht="15" x14ac:dyDescent="0.25">
      <c r="B14" s="105">
        <v>0.375</v>
      </c>
      <c r="C14" s="207" t="s">
        <v>89</v>
      </c>
      <c r="D14" s="207" t="s">
        <v>89</v>
      </c>
      <c r="E14" s="207" t="s">
        <v>89</v>
      </c>
      <c r="F14" s="207" t="s">
        <v>89</v>
      </c>
      <c r="G14" s="207" t="s">
        <v>89</v>
      </c>
      <c r="H14" s="207"/>
      <c r="I14" s="207"/>
      <c r="J14" s="107"/>
      <c r="K14" s="105">
        <v>0.70833333333333304</v>
      </c>
      <c r="L14" s="207" t="s">
        <v>89</v>
      </c>
      <c r="M14" s="207" t="s">
        <v>89</v>
      </c>
      <c r="N14" s="207" t="s">
        <v>89</v>
      </c>
      <c r="O14" s="207"/>
      <c r="P14" s="207"/>
      <c r="Q14" s="207"/>
      <c r="R14" s="207"/>
      <c r="T14" s="251"/>
      <c r="U14" s="130"/>
      <c r="V14" s="120"/>
    </row>
    <row r="15" spans="2:33" ht="15" x14ac:dyDescent="0.25">
      <c r="B15" s="105">
        <v>0.41666666666666702</v>
      </c>
      <c r="C15" s="207" t="s">
        <v>89</v>
      </c>
      <c r="D15" s="207" t="s">
        <v>89</v>
      </c>
      <c r="E15" s="207" t="s">
        <v>89</v>
      </c>
      <c r="F15" s="207" t="s">
        <v>89</v>
      </c>
      <c r="G15" s="207" t="s">
        <v>89</v>
      </c>
      <c r="H15" s="207"/>
      <c r="I15" s="207"/>
      <c r="J15" s="107"/>
      <c r="K15" s="105">
        <v>0.75</v>
      </c>
      <c r="L15" s="207" t="s">
        <v>89</v>
      </c>
      <c r="M15" s="207" t="s">
        <v>89</v>
      </c>
      <c r="N15" s="207" t="s">
        <v>89</v>
      </c>
      <c r="O15" s="207" t="s">
        <v>89</v>
      </c>
      <c r="P15" s="207" t="s">
        <v>89</v>
      </c>
      <c r="Q15" s="207"/>
      <c r="R15" s="207"/>
      <c r="T15" s="213">
        <f>T10/T7</f>
        <v>0.1941747572815534</v>
      </c>
      <c r="U15" s="144" t="s">
        <v>122</v>
      </c>
      <c r="V15" s="144"/>
    </row>
    <row r="16" spans="2:33" ht="15" x14ac:dyDescent="0.25">
      <c r="B16" s="105">
        <v>0.45833333333333298</v>
      </c>
      <c r="C16" s="207" t="s">
        <v>89</v>
      </c>
      <c r="D16" s="207" t="s">
        <v>89</v>
      </c>
      <c r="E16" s="207" t="s">
        <v>89</v>
      </c>
      <c r="F16" s="207" t="s">
        <v>89</v>
      </c>
      <c r="G16" s="207" t="s">
        <v>89</v>
      </c>
      <c r="H16" s="207"/>
      <c r="I16" s="207"/>
      <c r="J16" s="107"/>
      <c r="K16" s="105">
        <v>0.79166666666666696</v>
      </c>
      <c r="L16" s="207" t="s">
        <v>89</v>
      </c>
      <c r="M16" s="207" t="s">
        <v>89</v>
      </c>
      <c r="N16" s="207" t="s">
        <v>89</v>
      </c>
      <c r="O16" s="207" t="s">
        <v>89</v>
      </c>
      <c r="P16" s="207" t="s">
        <v>89</v>
      </c>
      <c r="Q16" s="207" t="s">
        <v>89</v>
      </c>
      <c r="R16" s="207"/>
      <c r="T16" s="455" t="s">
        <v>123</v>
      </c>
      <c r="U16" s="455"/>
      <c r="V16" s="455"/>
    </row>
    <row r="17" spans="1:22" ht="15" x14ac:dyDescent="0.25">
      <c r="B17" s="105">
        <v>0.5</v>
      </c>
      <c r="C17" s="207" t="s">
        <v>89</v>
      </c>
      <c r="D17" s="207" t="s">
        <v>89</v>
      </c>
      <c r="E17" s="207" t="s">
        <v>89</v>
      </c>
      <c r="F17" s="207" t="s">
        <v>89</v>
      </c>
      <c r="G17" s="207" t="s">
        <v>89</v>
      </c>
      <c r="H17" s="207"/>
      <c r="I17" s="207"/>
      <c r="J17" s="107"/>
      <c r="K17" s="105">
        <v>0.83333333333333304</v>
      </c>
      <c r="L17" s="207" t="s">
        <v>89</v>
      </c>
      <c r="M17" s="207" t="s">
        <v>89</v>
      </c>
      <c r="N17" s="207" t="s">
        <v>89</v>
      </c>
      <c r="O17" s="207" t="s">
        <v>89</v>
      </c>
      <c r="P17" s="207" t="s">
        <v>89</v>
      </c>
      <c r="Q17" s="207" t="s">
        <v>89</v>
      </c>
      <c r="R17" s="207"/>
      <c r="T17" s="455"/>
      <c r="U17" s="455"/>
      <c r="V17" s="455"/>
    </row>
    <row r="18" spans="1:22" ht="15" x14ac:dyDescent="0.25">
      <c r="B18" s="105">
        <v>0.54166666666666696</v>
      </c>
      <c r="C18" s="207" t="s">
        <v>89</v>
      </c>
      <c r="D18" s="207" t="s">
        <v>89</v>
      </c>
      <c r="E18" s="207" t="s">
        <v>89</v>
      </c>
      <c r="F18" s="207" t="s">
        <v>89</v>
      </c>
      <c r="G18" s="207" t="s">
        <v>89</v>
      </c>
      <c r="H18" s="207"/>
      <c r="I18" s="207"/>
      <c r="J18" s="107"/>
      <c r="K18" s="105">
        <v>0.875</v>
      </c>
      <c r="L18" s="207" t="s">
        <v>89</v>
      </c>
      <c r="M18" s="207" t="s">
        <v>89</v>
      </c>
      <c r="N18" s="207" t="s">
        <v>89</v>
      </c>
      <c r="O18" s="207" t="s">
        <v>89</v>
      </c>
      <c r="P18" s="207" t="s">
        <v>89</v>
      </c>
      <c r="Q18" s="207" t="s">
        <v>89</v>
      </c>
      <c r="R18" s="207"/>
    </row>
    <row r="19" spans="1:22" ht="15" x14ac:dyDescent="0.25">
      <c r="B19" s="105">
        <v>0.58333333333333304</v>
      </c>
      <c r="C19" s="207"/>
      <c r="D19" s="207"/>
      <c r="E19" s="207"/>
      <c r="F19" s="207"/>
      <c r="G19" s="207"/>
      <c r="H19" s="207"/>
      <c r="I19" s="207"/>
      <c r="J19" s="107"/>
      <c r="K19" s="105">
        <v>0.91666666666666696</v>
      </c>
      <c r="L19" s="207" t="s">
        <v>89</v>
      </c>
      <c r="M19" s="207" t="s">
        <v>89</v>
      </c>
      <c r="N19" s="207" t="s">
        <v>89</v>
      </c>
      <c r="O19" s="207" t="s">
        <v>89</v>
      </c>
      <c r="P19" s="207" t="s">
        <v>89</v>
      </c>
      <c r="Q19" s="207" t="s">
        <v>89</v>
      </c>
      <c r="R19" s="207"/>
    </row>
    <row r="20" spans="1:22" ht="15" x14ac:dyDescent="0.25">
      <c r="B20" s="105">
        <v>0.625</v>
      </c>
      <c r="C20" s="207"/>
      <c r="D20" s="207"/>
      <c r="E20" s="207"/>
      <c r="F20" s="207"/>
      <c r="G20" s="207"/>
      <c r="H20" s="207"/>
      <c r="I20" s="207"/>
      <c r="J20" s="107"/>
      <c r="K20" s="104">
        <v>0.95833333333333304</v>
      </c>
      <c r="L20" s="207" t="s">
        <v>89</v>
      </c>
      <c r="M20" s="207" t="s">
        <v>89</v>
      </c>
      <c r="N20" s="207" t="s">
        <v>89</v>
      </c>
      <c r="O20" s="207" t="s">
        <v>89</v>
      </c>
      <c r="P20" s="207" t="s">
        <v>89</v>
      </c>
      <c r="Q20" s="207" t="s">
        <v>89</v>
      </c>
      <c r="R20" s="207"/>
      <c r="U20">
        <v>21.5</v>
      </c>
      <c r="V20" t="s">
        <v>40</v>
      </c>
    </row>
    <row r="21" spans="1:22" ht="15.75" thickBot="1" x14ac:dyDescent="0.3">
      <c r="B21" s="105">
        <v>0.66666666666666696</v>
      </c>
      <c r="C21" s="207"/>
      <c r="D21" s="207"/>
      <c r="E21" s="207"/>
      <c r="F21" s="207"/>
      <c r="G21" s="207"/>
      <c r="H21" s="207"/>
      <c r="I21" s="207"/>
      <c r="J21" s="107"/>
      <c r="K21" s="209">
        <v>0</v>
      </c>
      <c r="L21" s="210" t="s">
        <v>89</v>
      </c>
      <c r="M21" s="210" t="s">
        <v>89</v>
      </c>
      <c r="N21" s="210" t="s">
        <v>89</v>
      </c>
      <c r="O21" s="210" t="s">
        <v>89</v>
      </c>
      <c r="P21" s="210" t="s">
        <v>89</v>
      </c>
      <c r="Q21" s="210" t="s">
        <v>89</v>
      </c>
      <c r="R21" s="207"/>
      <c r="U21">
        <v>60</v>
      </c>
      <c r="V21" t="s">
        <v>175</v>
      </c>
    </row>
    <row r="22" spans="1:22" ht="12.6" customHeight="1" thickTop="1" x14ac:dyDescent="0.25">
      <c r="B22" s="105">
        <v>0.70833333333333304</v>
      </c>
      <c r="C22" s="207"/>
      <c r="D22" s="207"/>
      <c r="E22" s="207"/>
      <c r="F22" s="207"/>
      <c r="G22" s="207"/>
      <c r="H22" s="207"/>
      <c r="I22" s="207"/>
      <c r="J22" s="107"/>
      <c r="K22" s="106">
        <v>4.1666666666666699E-2</v>
      </c>
      <c r="L22" s="208"/>
      <c r="M22" s="208"/>
      <c r="N22" s="207" t="s">
        <v>89</v>
      </c>
      <c r="O22" s="208" t="s">
        <v>89</v>
      </c>
      <c r="P22" s="208" t="s">
        <v>89</v>
      </c>
      <c r="Q22" s="208" t="s">
        <v>89</v>
      </c>
      <c r="R22" s="208"/>
      <c r="U22" s="258">
        <f>U20/U21</f>
        <v>0.35833333333333334</v>
      </c>
      <c r="V22" t="s">
        <v>188</v>
      </c>
    </row>
    <row r="23" spans="1:22" ht="15" x14ac:dyDescent="0.25">
      <c r="B23" s="105">
        <v>0.75</v>
      </c>
      <c r="C23" s="207"/>
      <c r="D23" s="207"/>
      <c r="E23" s="207"/>
      <c r="F23" s="207"/>
      <c r="G23" s="207"/>
      <c r="H23" s="207"/>
      <c r="I23" s="207"/>
      <c r="J23" s="107"/>
      <c r="K23" s="104">
        <v>8.3333333333333301E-2</v>
      </c>
      <c r="L23" s="207"/>
      <c r="M23" s="207"/>
      <c r="N23" s="207"/>
      <c r="O23" s="208" t="s">
        <v>89</v>
      </c>
      <c r="P23" s="207" t="s">
        <v>89</v>
      </c>
      <c r="Q23" s="207" t="s">
        <v>89</v>
      </c>
      <c r="R23" s="207"/>
    </row>
    <row r="24" spans="1:22" ht="15" x14ac:dyDescent="0.25">
      <c r="B24" s="105">
        <v>0.79166666666666696</v>
      </c>
      <c r="C24" s="207"/>
      <c r="D24" s="207"/>
      <c r="E24" s="207"/>
      <c r="F24" s="207"/>
      <c r="G24" s="207"/>
      <c r="H24" s="207"/>
      <c r="I24" s="207"/>
      <c r="K24" s="104">
        <v>0.125</v>
      </c>
      <c r="L24" s="207"/>
      <c r="M24" s="207"/>
      <c r="N24" s="207"/>
      <c r="O24" s="207"/>
      <c r="P24" s="207" t="s">
        <v>89</v>
      </c>
      <c r="Q24" s="207" t="s">
        <v>89</v>
      </c>
      <c r="R24" s="207"/>
    </row>
    <row r="25" spans="1:22" ht="15" x14ac:dyDescent="0.25">
      <c r="B25" s="105">
        <v>0.83333333333333304</v>
      </c>
      <c r="C25" s="207"/>
      <c r="D25" s="207"/>
      <c r="E25" s="207"/>
      <c r="F25" s="207"/>
      <c r="G25" s="207"/>
      <c r="H25" s="207"/>
      <c r="I25" s="207"/>
      <c r="K25" s="104">
        <v>0.16666666666666699</v>
      </c>
      <c r="L25" s="207"/>
      <c r="M25" s="207"/>
      <c r="N25" s="207"/>
      <c r="O25" s="207"/>
      <c r="P25" s="207" t="s">
        <v>89</v>
      </c>
      <c r="Q25" s="207" t="s">
        <v>89</v>
      </c>
      <c r="R25" s="207"/>
    </row>
    <row r="26" spans="1:22" ht="15" x14ac:dyDescent="0.25">
      <c r="B26" s="105">
        <v>0.875</v>
      </c>
      <c r="C26" s="207"/>
      <c r="D26" s="207"/>
      <c r="E26" s="207"/>
      <c r="F26" s="207"/>
      <c r="G26" s="207"/>
      <c r="H26" s="207"/>
      <c r="I26" s="207"/>
      <c r="J26" s="107"/>
      <c r="K26" s="104">
        <v>0.20833333333333301</v>
      </c>
      <c r="L26" s="207"/>
      <c r="M26" s="207"/>
      <c r="N26" s="207"/>
      <c r="O26" s="207"/>
      <c r="P26" s="207"/>
      <c r="Q26" s="207" t="s">
        <v>89</v>
      </c>
      <c r="R26" s="207"/>
      <c r="S26" s="117"/>
    </row>
    <row r="27" spans="1:22" ht="15" x14ac:dyDescent="0.25">
      <c r="B27" s="105">
        <v>0.91666666666666596</v>
      </c>
      <c r="C27" s="207"/>
      <c r="D27" s="207"/>
      <c r="E27" s="207"/>
      <c r="F27" s="207"/>
      <c r="G27" s="207"/>
      <c r="H27" s="207"/>
      <c r="I27" s="207"/>
      <c r="J27" s="108"/>
      <c r="K27" s="104">
        <v>0.25</v>
      </c>
      <c r="L27" s="207"/>
      <c r="M27" s="207"/>
      <c r="N27" s="207"/>
      <c r="O27" s="207"/>
      <c r="P27" s="207"/>
      <c r="Q27" s="207"/>
      <c r="R27" s="207"/>
    </row>
    <row r="28" spans="1:22" ht="15" x14ac:dyDescent="0.25">
      <c r="A28" s="215" t="s">
        <v>164</v>
      </c>
      <c r="B28" s="214">
        <f>SUM(C28:I28)</f>
        <v>45</v>
      </c>
      <c r="C28" s="211">
        <f t="shared" ref="C28:I28" si="0">COUNTA(C4:C27)</f>
        <v>9</v>
      </c>
      <c r="D28" s="211">
        <f t="shared" si="0"/>
        <v>9</v>
      </c>
      <c r="E28" s="211">
        <f t="shared" si="0"/>
        <v>9</v>
      </c>
      <c r="F28" s="211">
        <f t="shared" si="0"/>
        <v>9</v>
      </c>
      <c r="G28" s="211">
        <f t="shared" si="0"/>
        <v>9</v>
      </c>
      <c r="H28" s="211">
        <f t="shared" si="0"/>
        <v>0</v>
      </c>
      <c r="I28" s="211">
        <f t="shared" si="0"/>
        <v>0</v>
      </c>
      <c r="J28" s="142"/>
      <c r="K28" s="214">
        <f>SUM(L28:R28)</f>
        <v>58</v>
      </c>
      <c r="L28" s="211">
        <f t="shared" ref="L28:R28" si="1">COUNTA(L4:L27)</f>
        <v>9</v>
      </c>
      <c r="M28" s="211">
        <f t="shared" si="1"/>
        <v>9</v>
      </c>
      <c r="N28" s="211">
        <f t="shared" si="1"/>
        <v>9</v>
      </c>
      <c r="O28" s="211">
        <f t="shared" si="1"/>
        <v>9</v>
      </c>
      <c r="P28" s="211">
        <f t="shared" si="1"/>
        <v>11</v>
      </c>
      <c r="Q28" s="211">
        <f t="shared" si="1"/>
        <v>11</v>
      </c>
      <c r="R28" s="211">
        <f t="shared" si="1"/>
        <v>0</v>
      </c>
    </row>
    <row r="29" spans="1:22" ht="15" x14ac:dyDescent="0.25">
      <c r="A29" s="215" t="s">
        <v>163</v>
      </c>
      <c r="B29" s="214">
        <f>SUM(C29:I29)</f>
        <v>0</v>
      </c>
      <c r="C29" s="211">
        <f t="shared" ref="C29:I29" si="2">IF(C9="x",COUNTIF(C4:C11,"x"),0)</f>
        <v>0</v>
      </c>
      <c r="D29" s="211">
        <f t="shared" si="2"/>
        <v>0</v>
      </c>
      <c r="E29" s="211">
        <f t="shared" si="2"/>
        <v>0</v>
      </c>
      <c r="F29" s="211">
        <f t="shared" si="2"/>
        <v>0</v>
      </c>
      <c r="G29" s="211">
        <f t="shared" si="2"/>
        <v>0</v>
      </c>
      <c r="H29" s="211">
        <f t="shared" si="2"/>
        <v>0</v>
      </c>
      <c r="I29" s="211">
        <f t="shared" si="2"/>
        <v>0</v>
      </c>
      <c r="J29" s="142"/>
      <c r="K29" s="214">
        <f>SUM(L29:R29)</f>
        <v>20</v>
      </c>
      <c r="L29" s="211">
        <f t="shared" ref="L29:R29" si="3">IF(L22="x",COUNTIF(L20:L27,"x"),0)</f>
        <v>0</v>
      </c>
      <c r="M29" s="211">
        <f t="shared" si="3"/>
        <v>0</v>
      </c>
      <c r="N29" s="211">
        <f t="shared" si="3"/>
        <v>3</v>
      </c>
      <c r="O29" s="211">
        <f t="shared" si="3"/>
        <v>4</v>
      </c>
      <c r="P29" s="211">
        <f t="shared" si="3"/>
        <v>6</v>
      </c>
      <c r="Q29" s="211">
        <f t="shared" si="3"/>
        <v>7</v>
      </c>
      <c r="R29" s="211">
        <f t="shared" si="3"/>
        <v>0</v>
      </c>
    </row>
    <row r="40" ht="12.6" customHeight="1" x14ac:dyDescent="0.2"/>
    <row r="41" ht="12.6" customHeight="1" x14ac:dyDescent="0.2"/>
    <row r="42" ht="12.6" customHeight="1" x14ac:dyDescent="0.2"/>
    <row r="43" ht="12.6" customHeight="1" x14ac:dyDescent="0.2"/>
  </sheetData>
  <sheetProtection sheet="1" objects="1" scenarios="1"/>
  <mergeCells count="6">
    <mergeCell ref="T16:V17"/>
    <mergeCell ref="B1:R1"/>
    <mergeCell ref="T4:V6"/>
    <mergeCell ref="L2:R2"/>
    <mergeCell ref="T1:AA2"/>
    <mergeCell ref="C2:I2"/>
  </mergeCells>
  <phoneticPr fontId="31" type="noConversion"/>
  <pageMargins left="0.7" right="0.7" top="0.78740157499999996" bottom="0.78740157499999996"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5"/>
  <sheetViews>
    <sheetView showGridLines="0" zoomScale="120" zoomScaleNormal="120" workbookViewId="0">
      <selection activeCell="D9" sqref="D9"/>
    </sheetView>
  </sheetViews>
  <sheetFormatPr baseColWidth="10" defaultColWidth="11.42578125" defaultRowHeight="12.75" x14ac:dyDescent="0.2"/>
  <cols>
    <col min="1" max="1" width="38.7109375" style="324" bestFit="1" customWidth="1"/>
    <col min="2" max="3" width="11.42578125" style="324"/>
    <col min="4" max="4" width="23.85546875" style="324" customWidth="1"/>
    <col min="5" max="5" width="11.42578125" style="324"/>
    <col min="6" max="6" width="38.5703125" style="324" bestFit="1" customWidth="1"/>
    <col min="7" max="16384" width="11.42578125" style="324"/>
  </cols>
  <sheetData>
    <row r="1" spans="1:12" x14ac:dyDescent="0.2">
      <c r="F1" s="343" t="s">
        <v>230</v>
      </c>
      <c r="G1" s="343"/>
      <c r="H1" s="343"/>
      <c r="I1" s="343"/>
      <c r="J1" s="343"/>
      <c r="K1" s="343"/>
      <c r="L1" s="343"/>
    </row>
    <row r="2" spans="1:12" x14ac:dyDescent="0.2">
      <c r="F2" s="343"/>
      <c r="G2" s="343"/>
      <c r="H2" s="343"/>
      <c r="I2" s="343"/>
      <c r="J2" s="343"/>
      <c r="K2" s="343"/>
      <c r="L2" s="343"/>
    </row>
    <row r="3" spans="1:12" x14ac:dyDescent="0.2">
      <c r="F3" s="343" t="s">
        <v>231</v>
      </c>
      <c r="G3" s="343"/>
      <c r="H3" s="343"/>
      <c r="I3" s="343"/>
      <c r="J3" s="343"/>
      <c r="K3" s="343"/>
      <c r="L3" s="343"/>
    </row>
    <row r="4" spans="1:12" x14ac:dyDescent="0.2">
      <c r="F4" s="343"/>
      <c r="G4" s="343"/>
      <c r="H4" s="343"/>
      <c r="I4" s="343"/>
      <c r="J4" s="343"/>
      <c r="K4" s="343"/>
      <c r="L4" s="343"/>
    </row>
    <row r="5" spans="1:12" ht="13.5" thickBot="1" x14ac:dyDescent="0.25">
      <c r="A5" s="341" t="s">
        <v>225</v>
      </c>
      <c r="B5" s="331">
        <v>0.15</v>
      </c>
      <c r="C5" s="326">
        <f>B7*B5</f>
        <v>1.5</v>
      </c>
      <c r="F5" s="343"/>
      <c r="G5" s="343"/>
      <c r="H5" s="343"/>
      <c r="I5" s="343"/>
      <c r="J5" s="343"/>
      <c r="K5" s="343"/>
      <c r="L5" s="343"/>
    </row>
    <row r="6" spans="1:12" x14ac:dyDescent="0.2">
      <c r="F6" s="343"/>
      <c r="G6" s="346" t="s">
        <v>214</v>
      </c>
      <c r="H6" s="343"/>
      <c r="I6" s="343"/>
      <c r="J6" s="343"/>
      <c r="K6" s="343"/>
      <c r="L6" s="343"/>
    </row>
    <row r="7" spans="1:12" ht="15" x14ac:dyDescent="0.25">
      <c r="A7" s="325" t="s">
        <v>222</v>
      </c>
      <c r="B7" s="389">
        <v>10</v>
      </c>
      <c r="C7" s="326">
        <f>B7</f>
        <v>10</v>
      </c>
      <c r="F7" s="344" t="s">
        <v>225</v>
      </c>
      <c r="G7" s="347">
        <v>0</v>
      </c>
      <c r="H7" s="343" t="s">
        <v>229</v>
      </c>
      <c r="I7" s="343"/>
      <c r="J7" s="343"/>
      <c r="K7" s="343"/>
      <c r="L7" s="343"/>
    </row>
    <row r="8" spans="1:12" x14ac:dyDescent="0.2">
      <c r="A8" s="325" t="s">
        <v>5</v>
      </c>
      <c r="B8" s="327">
        <v>8.4000000000000005E-2</v>
      </c>
      <c r="C8" s="326">
        <f>B7*B8</f>
        <v>0.84000000000000008</v>
      </c>
      <c r="F8" s="343"/>
      <c r="G8" s="348"/>
      <c r="H8" s="343"/>
      <c r="I8" s="343"/>
      <c r="J8" s="343"/>
      <c r="K8" s="343"/>
      <c r="L8" s="343"/>
    </row>
    <row r="9" spans="1:12" ht="15" x14ac:dyDescent="0.25">
      <c r="A9" s="325" t="s">
        <v>52</v>
      </c>
      <c r="B9" s="327">
        <v>4.2000000000000003E-2</v>
      </c>
      <c r="C9" s="326">
        <f>B9*B7</f>
        <v>0.42000000000000004</v>
      </c>
      <c r="F9" s="345" t="s">
        <v>221</v>
      </c>
      <c r="G9" s="349">
        <v>0.2</v>
      </c>
      <c r="H9" s="458" t="s">
        <v>228</v>
      </c>
      <c r="I9" s="458"/>
      <c r="J9" s="458"/>
      <c r="K9" s="458"/>
      <c r="L9" s="458"/>
    </row>
    <row r="10" spans="1:12" ht="12.75" customHeight="1" x14ac:dyDescent="0.2">
      <c r="A10" s="325" t="s">
        <v>58</v>
      </c>
      <c r="B10" s="328">
        <v>0</v>
      </c>
      <c r="C10" s="326">
        <f>B10*B7</f>
        <v>0</v>
      </c>
      <c r="F10" s="343"/>
      <c r="G10" s="348"/>
      <c r="H10" s="458"/>
      <c r="I10" s="458"/>
      <c r="J10" s="458"/>
      <c r="K10" s="458"/>
      <c r="L10" s="458"/>
    </row>
    <row r="11" spans="1:12" x14ac:dyDescent="0.2">
      <c r="A11" s="325" t="s">
        <v>221</v>
      </c>
      <c r="B11" s="329">
        <v>0.19</v>
      </c>
      <c r="C11" s="326">
        <f>C5*B11</f>
        <v>0.28500000000000003</v>
      </c>
      <c r="F11" s="343"/>
      <c r="G11" s="348"/>
      <c r="H11" s="343"/>
      <c r="I11" s="343"/>
      <c r="J11" s="343"/>
      <c r="K11" s="343"/>
      <c r="L11" s="343"/>
    </row>
    <row r="12" spans="1:12" ht="15.75" customHeight="1" thickBot="1" x14ac:dyDescent="0.3">
      <c r="A12" s="325" t="s">
        <v>198</v>
      </c>
      <c r="B12" s="327">
        <v>0</v>
      </c>
      <c r="C12" s="326">
        <f>B12*B7</f>
        <v>0</v>
      </c>
      <c r="F12" s="344" t="s">
        <v>226</v>
      </c>
      <c r="G12" s="350">
        <v>0.55000000000000004</v>
      </c>
      <c r="H12" s="458" t="s">
        <v>247</v>
      </c>
      <c r="I12" s="458"/>
      <c r="J12" s="458"/>
      <c r="K12" s="458"/>
      <c r="L12" s="458"/>
    </row>
    <row r="13" spans="1:12" x14ac:dyDescent="0.2">
      <c r="B13" s="330" t="s">
        <v>6</v>
      </c>
      <c r="C13" s="342">
        <f>SUM(C7:C12)</f>
        <v>11.545</v>
      </c>
      <c r="F13" s="343"/>
      <c r="G13" s="343"/>
      <c r="H13" s="458"/>
      <c r="I13" s="458"/>
      <c r="J13" s="458"/>
      <c r="K13" s="458"/>
      <c r="L13" s="458"/>
    </row>
    <row r="14" spans="1:12" x14ac:dyDescent="0.2">
      <c r="B14" s="293"/>
      <c r="F14" s="343"/>
      <c r="G14" s="343"/>
      <c r="H14" s="458"/>
      <c r="I14" s="458"/>
      <c r="J14" s="458"/>
      <c r="K14" s="458"/>
      <c r="L14" s="458"/>
    </row>
    <row r="15" spans="1:12" x14ac:dyDescent="0.2">
      <c r="A15" s="325" t="s">
        <v>7</v>
      </c>
      <c r="B15" s="331">
        <v>0.21199999999999999</v>
      </c>
      <c r="C15" s="326">
        <f>B7*B15</f>
        <v>2.12</v>
      </c>
      <c r="D15" s="334"/>
      <c r="F15" s="343"/>
      <c r="G15" s="343"/>
      <c r="H15" s="458"/>
      <c r="I15" s="458"/>
      <c r="J15" s="458"/>
      <c r="K15" s="458"/>
      <c r="L15" s="458"/>
    </row>
    <row r="16" spans="1:12" x14ac:dyDescent="0.2">
      <c r="A16" s="325" t="s">
        <v>8</v>
      </c>
      <c r="B16" s="331">
        <v>2.1999999999999999E-2</v>
      </c>
      <c r="C16" s="326">
        <f>B7*B16</f>
        <v>0.21999999999999997</v>
      </c>
      <c r="D16" s="334"/>
      <c r="F16" s="343"/>
      <c r="G16" s="343"/>
      <c r="H16" s="458"/>
      <c r="I16" s="458"/>
      <c r="J16" s="458"/>
      <c r="K16" s="458"/>
      <c r="L16" s="458"/>
    </row>
    <row r="17" spans="1:12" x14ac:dyDescent="0.2">
      <c r="A17" s="325" t="s">
        <v>9</v>
      </c>
      <c r="B17" s="331">
        <v>3.5000000000000003E-2</v>
      </c>
      <c r="C17" s="326">
        <f>B7*B17</f>
        <v>0.35000000000000003</v>
      </c>
      <c r="D17" s="334"/>
      <c r="F17" s="343"/>
      <c r="G17" s="343"/>
      <c r="H17" s="458"/>
      <c r="I17" s="458"/>
      <c r="J17" s="458"/>
      <c r="K17" s="458"/>
      <c r="L17" s="458"/>
    </row>
    <row r="18" spans="1:12" x14ac:dyDescent="0.2">
      <c r="A18" s="325"/>
      <c r="B18" s="331">
        <v>0</v>
      </c>
      <c r="C18" s="326">
        <f>B7*B18</f>
        <v>0</v>
      </c>
      <c r="F18" s="343"/>
      <c r="G18" s="343"/>
      <c r="H18" s="343"/>
      <c r="I18" s="343"/>
      <c r="J18" s="343"/>
      <c r="K18" s="343"/>
      <c r="L18" s="343"/>
    </row>
    <row r="19" spans="1:12" x14ac:dyDescent="0.2">
      <c r="B19" s="330" t="s">
        <v>10</v>
      </c>
      <c r="C19" s="342">
        <f>SUM(C13:C18)+C11</f>
        <v>14.52</v>
      </c>
      <c r="F19" s="343"/>
      <c r="G19" s="343"/>
      <c r="H19" s="343"/>
      <c r="I19" s="343"/>
      <c r="J19" s="343"/>
      <c r="K19" s="343"/>
      <c r="L19" s="343"/>
    </row>
    <row r="20" spans="1:12" x14ac:dyDescent="0.2">
      <c r="F20" s="343"/>
      <c r="G20" s="343"/>
      <c r="H20" s="343"/>
      <c r="I20" s="343"/>
      <c r="J20" s="343"/>
      <c r="K20" s="343"/>
      <c r="L20" s="343"/>
    </row>
    <row r="21" spans="1:12" x14ac:dyDescent="0.2">
      <c r="A21" s="341" t="s">
        <v>226</v>
      </c>
      <c r="B21" s="329">
        <v>0.55900000000000005</v>
      </c>
      <c r="F21" s="343"/>
      <c r="G21" s="343"/>
      <c r="H21" s="343"/>
      <c r="I21" s="343"/>
      <c r="J21" s="343"/>
      <c r="K21" s="343"/>
      <c r="L21" s="343"/>
    </row>
    <row r="22" spans="1:12" x14ac:dyDescent="0.2">
      <c r="D22" s="334"/>
      <c r="F22" s="343"/>
      <c r="G22" s="343"/>
      <c r="H22" s="343"/>
      <c r="I22" s="343"/>
      <c r="J22" s="343"/>
      <c r="K22" s="343"/>
      <c r="L22" s="343"/>
    </row>
    <row r="23" spans="1:12" x14ac:dyDescent="0.2">
      <c r="A23" s="332" t="s">
        <v>3</v>
      </c>
      <c r="B23" s="336">
        <f>B24*C23</f>
        <v>1.8182468694096601</v>
      </c>
      <c r="C23" s="323">
        <v>7.0000000000000007E-2</v>
      </c>
    </row>
    <row r="24" spans="1:12" ht="15" x14ac:dyDescent="0.25">
      <c r="A24" s="459" t="s">
        <v>227</v>
      </c>
      <c r="B24" s="335">
        <f>C19/B21</f>
        <v>25.974955277280856</v>
      </c>
      <c r="C24" s="324" t="s">
        <v>219</v>
      </c>
    </row>
    <row r="25" spans="1:12" ht="15" x14ac:dyDescent="0.25">
      <c r="A25" s="459"/>
      <c r="B25" s="333">
        <f>SUM(B23:B24)</f>
        <v>27.793202146690515</v>
      </c>
      <c r="C25" s="324" t="s">
        <v>220</v>
      </c>
    </row>
  </sheetData>
  <sheetProtection sheet="1" objects="1" scenarios="1"/>
  <mergeCells count="3">
    <mergeCell ref="H9:L10"/>
    <mergeCell ref="A24:A25"/>
    <mergeCell ref="H12:L17"/>
  </mergeCells>
  <pageMargins left="0.7" right="0.7" top="0.78740157499999996" bottom="0.78740157499999996"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0006"/>
  </sheetPr>
  <dimension ref="A1:AB51"/>
  <sheetViews>
    <sheetView showGridLines="0" zoomScale="80" zoomScaleNormal="80" workbookViewId="0">
      <selection activeCell="B28" sqref="B28"/>
    </sheetView>
  </sheetViews>
  <sheetFormatPr baseColWidth="10" defaultRowHeight="12.75" x14ac:dyDescent="0.2"/>
  <cols>
    <col min="1" max="1" width="27.85546875" bestFit="1" customWidth="1"/>
    <col min="2" max="2" width="9.7109375" customWidth="1"/>
    <col min="3" max="3" width="10.42578125" bestFit="1" customWidth="1"/>
    <col min="4" max="4" width="4.85546875" customWidth="1"/>
    <col min="5" max="5" width="21.140625" customWidth="1"/>
    <col min="6" max="6" width="7.7109375" customWidth="1"/>
    <col min="7" max="7" width="8" bestFit="1" customWidth="1"/>
    <col min="8" max="8" width="7.7109375" bestFit="1" customWidth="1"/>
    <col min="9" max="9" width="9.5703125" customWidth="1"/>
    <col min="10" max="10" width="5" bestFit="1" customWidth="1"/>
    <col min="11" max="11" width="22.140625" customWidth="1"/>
    <col min="12" max="12" width="3.85546875" bestFit="1" customWidth="1"/>
    <col min="13" max="13" width="8" customWidth="1"/>
    <col min="14" max="14" width="11.5703125" bestFit="1" customWidth="1"/>
    <col min="15" max="15" width="6.5703125" customWidth="1"/>
    <col min="16" max="16" width="5.140625" customWidth="1"/>
    <col min="17" max="17" width="15.42578125" bestFit="1" customWidth="1"/>
    <col min="18" max="18" width="7.140625" customWidth="1"/>
    <col min="19" max="19" width="9.7109375" bestFit="1" customWidth="1"/>
    <col min="20" max="20" width="11.7109375" customWidth="1"/>
    <col min="21" max="21" width="12" bestFit="1" customWidth="1"/>
  </cols>
  <sheetData>
    <row r="1" spans="1:28" ht="14.45" customHeight="1" x14ac:dyDescent="0.25">
      <c r="A1" s="463" t="s">
        <v>130</v>
      </c>
      <c r="B1" s="150"/>
      <c r="C1" s="151" t="s">
        <v>131</v>
      </c>
      <c r="D1" s="150"/>
      <c r="E1" s="467" t="s">
        <v>173</v>
      </c>
      <c r="F1" s="467"/>
      <c r="G1" s="467"/>
      <c r="H1" s="467"/>
      <c r="I1" s="467"/>
      <c r="J1" s="467"/>
      <c r="K1" s="467"/>
      <c r="L1" s="467"/>
      <c r="M1" s="467"/>
      <c r="N1" s="467"/>
      <c r="O1" s="467"/>
      <c r="P1" s="467"/>
      <c r="Q1" s="467"/>
      <c r="R1" s="467"/>
      <c r="S1" s="467"/>
      <c r="T1" s="467"/>
      <c r="U1" s="467"/>
    </row>
    <row r="2" spans="1:28" ht="35.1" customHeight="1" x14ac:dyDescent="0.35">
      <c r="A2" s="463"/>
      <c r="B2" s="152" t="s">
        <v>132</v>
      </c>
      <c r="C2" s="300">
        <v>2</v>
      </c>
      <c r="D2" s="299" t="s">
        <v>133</v>
      </c>
      <c r="E2" s="467"/>
      <c r="F2" s="467"/>
      <c r="G2" s="467"/>
      <c r="H2" s="467"/>
      <c r="I2" s="467"/>
      <c r="J2" s="467"/>
      <c r="K2" s="467"/>
      <c r="L2" s="467"/>
      <c r="M2" s="467"/>
      <c r="N2" s="467"/>
      <c r="O2" s="467"/>
      <c r="P2" s="467"/>
      <c r="Q2" s="467"/>
      <c r="R2" s="467"/>
      <c r="S2" s="467"/>
      <c r="T2" s="467"/>
      <c r="U2" s="467"/>
    </row>
    <row r="3" spans="1:28" ht="13.5" thickBot="1" x14ac:dyDescent="0.25">
      <c r="A3" s="153"/>
      <c r="B3" s="153"/>
      <c r="C3" s="153"/>
      <c r="D3" s="153"/>
      <c r="E3" s="153"/>
      <c r="F3" s="153"/>
      <c r="G3" s="153"/>
      <c r="Q3" s="271" t="s">
        <v>182</v>
      </c>
    </row>
    <row r="4" spans="1:28" ht="15.75" x14ac:dyDescent="0.25">
      <c r="A4" s="464" t="s">
        <v>179</v>
      </c>
      <c r="B4" s="465"/>
      <c r="C4" s="466"/>
      <c r="E4" s="186" t="s">
        <v>206</v>
      </c>
      <c r="F4" s="249"/>
      <c r="G4" s="154"/>
      <c r="H4" s="154"/>
      <c r="I4" s="155"/>
      <c r="K4" s="186" t="s">
        <v>205</v>
      </c>
      <c r="L4" s="249"/>
      <c r="M4" s="154"/>
      <c r="N4" s="154"/>
      <c r="O4" s="155"/>
      <c r="Q4" s="186" t="s">
        <v>178</v>
      </c>
      <c r="R4" s="154"/>
      <c r="S4" s="154"/>
      <c r="T4" s="154"/>
      <c r="U4" s="155"/>
      <c r="W4" s="473" t="s">
        <v>210</v>
      </c>
      <c r="X4" s="473"/>
      <c r="Y4" s="473"/>
      <c r="Z4" s="473"/>
      <c r="AA4" s="473"/>
    </row>
    <row r="5" spans="1:28" ht="15" x14ac:dyDescent="0.25">
      <c r="A5" s="156"/>
      <c r="B5" s="157" t="s">
        <v>141</v>
      </c>
      <c r="C5" s="162"/>
      <c r="E5" s="159"/>
      <c r="F5" s="160"/>
      <c r="G5" s="160"/>
      <c r="H5" s="161"/>
      <c r="I5" s="162"/>
      <c r="K5" s="306"/>
      <c r="L5" s="160"/>
      <c r="M5" s="160"/>
      <c r="N5" s="161"/>
      <c r="O5" s="162"/>
      <c r="Q5" s="163" t="s">
        <v>174</v>
      </c>
      <c r="R5" s="160"/>
      <c r="S5" s="160"/>
      <c r="T5" s="157" t="s">
        <v>141</v>
      </c>
      <c r="U5" s="162"/>
      <c r="W5" s="288">
        <v>14</v>
      </c>
      <c r="X5" s="269" t="s">
        <v>183</v>
      </c>
      <c r="Y5" s="301">
        <v>4</v>
      </c>
      <c r="Z5" s="269" t="s">
        <v>133</v>
      </c>
      <c r="AA5" s="270" t="s">
        <v>194</v>
      </c>
      <c r="AB5" s="268">
        <f>Y5/W5*60</f>
        <v>17.142857142857142</v>
      </c>
    </row>
    <row r="6" spans="1:28" ht="15" x14ac:dyDescent="0.25">
      <c r="A6" s="164" t="s">
        <v>134</v>
      </c>
      <c r="B6" s="247">
        <v>5.0999999999999996</v>
      </c>
      <c r="C6" s="162"/>
      <c r="E6" s="159"/>
      <c r="F6" s="165"/>
      <c r="G6" s="165" t="s">
        <v>134</v>
      </c>
      <c r="H6" s="192">
        <v>4.5</v>
      </c>
      <c r="I6" s="162"/>
      <c r="K6" s="306"/>
      <c r="L6" s="165"/>
      <c r="M6" s="165" t="s">
        <v>134</v>
      </c>
      <c r="N6" s="192">
        <v>5.5</v>
      </c>
      <c r="O6" s="162"/>
      <c r="Q6" s="163"/>
      <c r="R6" s="165"/>
      <c r="S6" s="165" t="s">
        <v>134</v>
      </c>
      <c r="T6" s="192">
        <v>2</v>
      </c>
      <c r="U6" s="162"/>
    </row>
    <row r="7" spans="1:28" ht="15" x14ac:dyDescent="0.25">
      <c r="A7" s="462">
        <v>7.0000000000000007E-2</v>
      </c>
      <c r="B7" s="165"/>
      <c r="C7" s="162"/>
      <c r="E7" s="462">
        <v>7.0000000000000007E-2</v>
      </c>
      <c r="F7" s="165"/>
      <c r="G7" s="165"/>
      <c r="H7" s="165"/>
      <c r="I7" s="162"/>
      <c r="K7" s="462">
        <v>0.19</v>
      </c>
      <c r="L7" s="165"/>
      <c r="M7" s="165"/>
      <c r="N7" s="165"/>
      <c r="O7" s="162"/>
      <c r="Q7" s="462">
        <v>0.19</v>
      </c>
      <c r="R7" s="165"/>
      <c r="S7" s="165"/>
      <c r="T7" s="165"/>
      <c r="U7" s="162"/>
    </row>
    <row r="8" spans="1:28" ht="15" x14ac:dyDescent="0.25">
      <c r="A8" s="462"/>
      <c r="B8" s="165"/>
      <c r="C8" s="162"/>
      <c r="E8" s="462"/>
      <c r="F8" s="165"/>
      <c r="G8" s="165"/>
      <c r="H8" s="165"/>
      <c r="I8" s="162"/>
      <c r="K8" s="462"/>
      <c r="L8" s="165"/>
      <c r="M8" s="165"/>
      <c r="N8" s="165"/>
      <c r="O8" s="162"/>
      <c r="Q8" s="462"/>
      <c r="R8" s="165"/>
      <c r="S8" s="189" t="s">
        <v>176</v>
      </c>
      <c r="T8" s="194">
        <v>0.3</v>
      </c>
      <c r="U8" s="162" t="s">
        <v>177</v>
      </c>
    </row>
    <row r="9" spans="1:28" ht="15" x14ac:dyDescent="0.25">
      <c r="A9" s="164"/>
      <c r="B9" s="165"/>
      <c r="C9" s="162"/>
      <c r="E9" s="159"/>
      <c r="F9" s="165"/>
      <c r="G9" s="165"/>
      <c r="H9" s="199"/>
      <c r="I9" s="162"/>
      <c r="K9" s="163"/>
      <c r="L9" s="165"/>
      <c r="M9" s="165"/>
      <c r="N9" s="248"/>
      <c r="O9" s="162"/>
      <c r="Q9" s="163"/>
      <c r="R9" s="165"/>
      <c r="S9" s="165"/>
      <c r="T9" s="198"/>
      <c r="U9" s="162"/>
      <c r="W9" s="259"/>
      <c r="X9" s="259"/>
      <c r="Y9" s="259"/>
      <c r="Z9" s="259"/>
      <c r="AA9" s="259"/>
      <c r="AB9" s="259"/>
    </row>
    <row r="10" spans="1:28" ht="15" x14ac:dyDescent="0.25">
      <c r="A10" s="164" t="s">
        <v>135</v>
      </c>
      <c r="B10" s="193">
        <v>0</v>
      </c>
      <c r="C10" s="162" t="s">
        <v>133</v>
      </c>
      <c r="E10" s="159"/>
      <c r="F10" s="165" t="s">
        <v>140</v>
      </c>
      <c r="G10" s="197">
        <v>0</v>
      </c>
      <c r="H10" s="192">
        <v>2.4</v>
      </c>
      <c r="I10" s="162"/>
      <c r="K10" s="166"/>
      <c r="L10" s="165" t="s">
        <v>140</v>
      </c>
      <c r="M10" s="197">
        <v>0</v>
      </c>
      <c r="N10" s="192">
        <v>2.5</v>
      </c>
      <c r="O10" s="162"/>
      <c r="Q10" s="166"/>
      <c r="R10" s="165" t="s">
        <v>140</v>
      </c>
      <c r="S10" s="197">
        <v>0</v>
      </c>
      <c r="T10" s="192">
        <v>1.1000000000000001</v>
      </c>
      <c r="U10" s="162"/>
      <c r="W10" s="474" t="s">
        <v>189</v>
      </c>
      <c r="X10" s="474"/>
      <c r="Y10" s="474"/>
      <c r="Z10" s="474"/>
      <c r="AA10" s="474"/>
      <c r="AB10" s="259"/>
    </row>
    <row r="11" spans="1:28" ht="15" x14ac:dyDescent="0.25">
      <c r="A11" s="164" t="s">
        <v>136</v>
      </c>
      <c r="B11" s="192">
        <v>2.5</v>
      </c>
      <c r="C11" s="162"/>
      <c r="E11" s="159"/>
      <c r="F11" s="165" t="s">
        <v>140</v>
      </c>
      <c r="G11" s="197">
        <v>2</v>
      </c>
      <c r="H11" s="192">
        <v>2.4</v>
      </c>
      <c r="I11" s="162"/>
      <c r="K11" s="166"/>
      <c r="L11" s="165" t="s">
        <v>140</v>
      </c>
      <c r="M11" s="197">
        <v>2</v>
      </c>
      <c r="N11" s="192">
        <v>2.5</v>
      </c>
      <c r="O11" s="162"/>
      <c r="Q11" s="166"/>
      <c r="R11" s="165" t="s">
        <v>140</v>
      </c>
      <c r="S11" s="197"/>
      <c r="T11" s="192"/>
      <c r="U11" s="162"/>
      <c r="W11" s="259"/>
      <c r="X11" s="259"/>
      <c r="Y11" s="298" t="s">
        <v>190</v>
      </c>
      <c r="Z11" s="272"/>
      <c r="AA11" s="290" t="s">
        <v>191</v>
      </c>
      <c r="AB11" s="259"/>
    </row>
    <row r="12" spans="1:28" ht="15" x14ac:dyDescent="0.25">
      <c r="A12" s="159"/>
      <c r="B12" s="158"/>
      <c r="C12" s="162"/>
      <c r="E12" s="159"/>
      <c r="F12" s="165" t="s">
        <v>140</v>
      </c>
      <c r="G12" s="197">
        <v>6</v>
      </c>
      <c r="H12" s="192">
        <v>2.4</v>
      </c>
      <c r="I12" s="162"/>
      <c r="K12" s="166"/>
      <c r="L12" s="165" t="s">
        <v>140</v>
      </c>
      <c r="M12" s="197">
        <v>6</v>
      </c>
      <c r="N12" s="192">
        <v>2.5</v>
      </c>
      <c r="O12" s="162"/>
      <c r="Q12" s="166"/>
      <c r="R12" s="165" t="s">
        <v>140</v>
      </c>
      <c r="S12" s="197"/>
      <c r="T12" s="192"/>
      <c r="U12" s="162"/>
      <c r="W12" s="259"/>
      <c r="X12" s="259"/>
      <c r="Y12" s="308">
        <v>0</v>
      </c>
      <c r="Z12" s="260" t="s">
        <v>192</v>
      </c>
      <c r="AA12" s="309">
        <v>17</v>
      </c>
      <c r="AB12" s="259"/>
    </row>
    <row r="13" spans="1:28" ht="15" x14ac:dyDescent="0.25">
      <c r="A13" s="159"/>
      <c r="B13" s="158"/>
      <c r="C13" s="162"/>
      <c r="E13" s="159"/>
      <c r="F13" s="165" t="s">
        <v>140</v>
      </c>
      <c r="G13" s="197"/>
      <c r="H13" s="192"/>
      <c r="I13" s="162"/>
      <c r="K13" s="166"/>
      <c r="L13" s="165" t="s">
        <v>140</v>
      </c>
      <c r="M13" s="197"/>
      <c r="N13" s="192"/>
      <c r="O13" s="162"/>
      <c r="Q13" s="166"/>
      <c r="R13" s="165" t="s">
        <v>140</v>
      </c>
      <c r="S13" s="197"/>
      <c r="T13" s="192"/>
      <c r="U13" s="162"/>
      <c r="W13" s="259"/>
      <c r="X13" s="259"/>
      <c r="Y13" s="262">
        <v>60</v>
      </c>
      <c r="Z13" s="263">
        <f>AA12</f>
        <v>17</v>
      </c>
      <c r="AA13" s="263">
        <f>Z13/Y13</f>
        <v>0.28333333333333333</v>
      </c>
      <c r="AB13" s="259"/>
    </row>
    <row r="14" spans="1:28" ht="15" x14ac:dyDescent="0.25">
      <c r="A14" s="159"/>
      <c r="B14" s="158"/>
      <c r="C14" s="162"/>
      <c r="E14" s="159"/>
      <c r="F14" s="165"/>
      <c r="G14" s="165"/>
      <c r="H14" s="165"/>
      <c r="I14" s="307"/>
      <c r="K14" s="166"/>
      <c r="L14" s="165"/>
      <c r="M14" s="165"/>
      <c r="N14" s="165"/>
      <c r="O14" s="162"/>
      <c r="Q14" s="166"/>
      <c r="R14" s="165"/>
      <c r="S14" s="165"/>
      <c r="T14" s="165"/>
      <c r="U14" s="162"/>
      <c r="W14" s="468" t="s">
        <v>193</v>
      </c>
      <c r="X14" s="469"/>
      <c r="Y14" s="470">
        <f>AA13+Y12</f>
        <v>0.28333333333333333</v>
      </c>
      <c r="Z14" s="471"/>
      <c r="AA14" s="472"/>
      <c r="AB14" s="259"/>
    </row>
    <row r="15" spans="1:28" ht="15" x14ac:dyDescent="0.25">
      <c r="A15" s="188" t="s">
        <v>138</v>
      </c>
      <c r="B15" s="194">
        <v>39.9</v>
      </c>
      <c r="C15" s="162"/>
      <c r="E15" s="159"/>
      <c r="F15" s="187"/>
      <c r="G15" s="189" t="s">
        <v>138</v>
      </c>
      <c r="H15" s="194">
        <v>26</v>
      </c>
      <c r="I15" s="307"/>
      <c r="K15" s="166"/>
      <c r="L15" s="187"/>
      <c r="M15" s="189" t="s">
        <v>138</v>
      </c>
      <c r="N15" s="194">
        <v>40</v>
      </c>
      <c r="O15" s="162"/>
      <c r="Q15" s="166"/>
      <c r="R15" s="187"/>
      <c r="S15" s="189" t="s">
        <v>181</v>
      </c>
      <c r="T15" s="197">
        <v>15</v>
      </c>
      <c r="U15" s="162" t="s">
        <v>175</v>
      </c>
    </row>
    <row r="16" spans="1:28" ht="15" x14ac:dyDescent="0.25">
      <c r="A16" s="185"/>
      <c r="B16" s="158"/>
      <c r="C16" s="162"/>
      <c r="E16" s="159"/>
      <c r="F16" s="165"/>
      <c r="G16" s="165"/>
      <c r="H16" s="165"/>
      <c r="I16" s="307"/>
      <c r="K16" s="166"/>
      <c r="L16" s="165"/>
      <c r="M16" s="165"/>
      <c r="N16" s="165"/>
      <c r="O16" s="162"/>
      <c r="Q16" s="166"/>
      <c r="R16" s="165"/>
      <c r="S16" s="165"/>
      <c r="T16" s="165"/>
      <c r="U16" s="162"/>
      <c r="AA16" s="149"/>
      <c r="AB16" s="149"/>
    </row>
    <row r="17" spans="1:23" ht="15" x14ac:dyDescent="0.25">
      <c r="A17" s="167" t="s">
        <v>137</v>
      </c>
      <c r="B17" s="168">
        <f>IF(C2&lt;=B10,B6,(C2-B10)*B11+B6)</f>
        <v>10.1</v>
      </c>
      <c r="C17" s="171"/>
      <c r="E17" s="169"/>
      <c r="F17" s="170"/>
      <c r="G17" s="170" t="s">
        <v>137</v>
      </c>
      <c r="H17" s="168">
        <f>IF(AND(OR(G13&lt;&gt;"",G13&lt;&gt;0),$C$2&gt;=G13),(($C$2-G13)*H13)+((G13-G12)*H12)+((G12-G11)*H11)+((G11-G10)*H10),IF(AND(OR(G12&lt;&gt;"",G12&lt;&gt;0),$C$2&gt;=G12),(($C$2-G12)*H12)+((G12-G11)*H11)+((G11-G10)*H10),IF(AND(OR(G11&lt;&gt;"",G11&lt;&gt;0),$C$2&gt;=G11),(($C$2-G11)*H11)+((G11-G10)*H10),($C$2-G10)*H10)))+H6</f>
        <v>9.3000000000000007</v>
      </c>
      <c r="I17" s="171"/>
      <c r="K17" s="169"/>
      <c r="L17" s="170"/>
      <c r="M17" s="170" t="s">
        <v>137</v>
      </c>
      <c r="N17" s="168">
        <f>IF(AND(OR(M13&lt;&gt;"",M13&lt;&gt;0),$C$2&gt;=M13),(($C$2-M13)*N13)+((M13-M12)*N12)+((M12-M11)*N11)+((M11-M10)*N10),IF(AND(OR(M12&lt;&gt;"",M12&lt;&gt;0),$C$2&gt;=M12),(($C$2-M12)*N12)+((M12-M11)*N11)+((M11-M10)*N10),IF(AND(OR(M11&lt;&gt;"",M11&lt;&gt;0),$C$2&gt;=M11),(($C$2-M11)*N11)+((M11-M10)*N10),($C$2-M10)*N10)))+N6</f>
        <v>10.5</v>
      </c>
      <c r="O17" s="171"/>
      <c r="Q17" s="169"/>
      <c r="R17" s="170"/>
      <c r="S17" s="170" t="s">
        <v>137</v>
      </c>
      <c r="T17" s="168">
        <f>IF(AND(OR(S13&lt;&gt;"",S13&lt;&gt;0),$C$2&gt;=S13),(($C$2-S13)*T13)+((S13-S12)*T12)+((S12-S11)*T11)+((S11-S10)*T10),IF(AND(OR(S12&lt;&gt;"",S12&lt;&gt;0),$C$2&gt;=S12),(($C$2-S12)*T12)+((S12-S11)*T11)+((S11-S10)*T10),IF(AND(OR(S11&lt;&gt;"",S11&lt;&gt;0),$C$2&gt;=S11),(($C$2-S11)*T11)+((S11-S10)*T10),($C$2-S10)*T10)))+T6</f>
        <v>4.2</v>
      </c>
      <c r="U17" s="171"/>
    </row>
    <row r="18" spans="1:23" ht="15" x14ac:dyDescent="0.25">
      <c r="A18" s="167" t="s">
        <v>138</v>
      </c>
      <c r="B18" s="168">
        <f>B17*C18</f>
        <v>0.90899999999999992</v>
      </c>
      <c r="C18" s="196">
        <v>0.09</v>
      </c>
      <c r="E18" s="172"/>
      <c r="F18" s="170"/>
      <c r="G18" s="170" t="s">
        <v>138</v>
      </c>
      <c r="H18" s="168">
        <f>H17*I18</f>
        <v>0.74400000000000011</v>
      </c>
      <c r="I18" s="195">
        <v>0.08</v>
      </c>
      <c r="K18" s="173"/>
      <c r="L18" s="170"/>
      <c r="M18" s="170" t="s">
        <v>138</v>
      </c>
      <c r="N18" s="168">
        <f>N17*O18</f>
        <v>0.84</v>
      </c>
      <c r="O18" s="196">
        <v>0.08</v>
      </c>
      <c r="Q18" s="173"/>
      <c r="R18" s="170"/>
      <c r="S18" s="170" t="s">
        <v>176</v>
      </c>
      <c r="T18" s="168">
        <f>T15*T8</f>
        <v>4.5</v>
      </c>
      <c r="U18" s="171"/>
    </row>
    <row r="19" spans="1:23" ht="15.75" thickBot="1" x14ac:dyDescent="0.3">
      <c r="A19" s="174" t="s">
        <v>139</v>
      </c>
      <c r="B19" s="175">
        <f>SUM(B17:B18)/107*7</f>
        <v>0.72021495327102802</v>
      </c>
      <c r="C19" s="297">
        <v>7.0000000000000007E-2</v>
      </c>
      <c r="E19" s="176"/>
      <c r="F19" s="177"/>
      <c r="G19" s="177" t="s">
        <v>139</v>
      </c>
      <c r="H19" s="175">
        <f>SUM(H17:H18)/107*7</f>
        <v>0.65708411214953277</v>
      </c>
      <c r="I19" s="178">
        <v>7.0000000000000007E-2</v>
      </c>
      <c r="K19" s="179"/>
      <c r="L19" s="180"/>
      <c r="M19" s="177" t="s">
        <v>139</v>
      </c>
      <c r="N19" s="175">
        <f>SUM(N17:N18)/119*19</f>
        <v>1.8105882352941176</v>
      </c>
      <c r="O19" s="178">
        <v>0.19</v>
      </c>
      <c r="Q19" s="179"/>
      <c r="R19" s="180"/>
      <c r="S19" s="177" t="s">
        <v>139</v>
      </c>
      <c r="T19" s="175">
        <f>SUM(T17:T18)/119*19</f>
        <v>1.3890756302521006</v>
      </c>
      <c r="U19" s="178">
        <v>0.19</v>
      </c>
    </row>
    <row r="20" spans="1:23" ht="9.6" customHeight="1" thickBot="1" x14ac:dyDescent="0.25">
      <c r="A20" s="296">
        <v>1</v>
      </c>
    </row>
    <row r="21" spans="1:23" ht="15" x14ac:dyDescent="0.25">
      <c r="A21" s="184" t="s">
        <v>180</v>
      </c>
      <c r="B21" s="181">
        <f>B22-B19</f>
        <v>10.288785046728972</v>
      </c>
      <c r="C21" s="182"/>
      <c r="E21" s="183"/>
      <c r="F21" s="184"/>
      <c r="G21" s="184" t="s">
        <v>180</v>
      </c>
      <c r="H21" s="181">
        <f>H22-H19</f>
        <v>9.386915887850467</v>
      </c>
      <c r="I21" s="182"/>
      <c r="K21" s="183"/>
      <c r="L21" s="184"/>
      <c r="M21" s="184" t="s">
        <v>180</v>
      </c>
      <c r="N21" s="181">
        <f>N22-N19</f>
        <v>9.5294117647058822</v>
      </c>
      <c r="O21" s="182"/>
      <c r="Q21" s="183"/>
      <c r="R21" s="184"/>
      <c r="S21" s="184" t="s">
        <v>180</v>
      </c>
      <c r="T21" s="181">
        <f>T22-T19</f>
        <v>7.3109243697478989</v>
      </c>
      <c r="U21" s="182"/>
    </row>
    <row r="22" spans="1:23" ht="15.75" thickBot="1" x14ac:dyDescent="0.3">
      <c r="A22" s="243" t="s">
        <v>137</v>
      </c>
      <c r="B22" s="240">
        <f>B17+B18</f>
        <v>11.009</v>
      </c>
      <c r="C22" s="245"/>
      <c r="E22" s="242"/>
      <c r="F22" s="243"/>
      <c r="G22" s="243" t="s">
        <v>137</v>
      </c>
      <c r="H22" s="244">
        <f>H17+H18</f>
        <v>10.044</v>
      </c>
      <c r="I22" s="245"/>
      <c r="K22" s="246"/>
      <c r="L22" s="243"/>
      <c r="M22" s="243" t="s">
        <v>137</v>
      </c>
      <c r="N22" s="244">
        <f>N17+N18</f>
        <v>11.34</v>
      </c>
      <c r="O22" s="241"/>
      <c r="Q22" s="246"/>
      <c r="R22" s="243"/>
      <c r="S22" s="243" t="s">
        <v>137</v>
      </c>
      <c r="T22" s="244">
        <f>T17+T18</f>
        <v>8.6999999999999993</v>
      </c>
      <c r="U22" s="241"/>
    </row>
    <row r="23" spans="1:23" ht="13.5" thickBot="1" x14ac:dyDescent="0.25"/>
    <row r="24" spans="1:23" ht="31.5" customHeight="1" x14ac:dyDescent="0.25">
      <c r="A24" s="460" t="s">
        <v>233</v>
      </c>
      <c r="B24" s="461"/>
      <c r="C24" s="182"/>
      <c r="E24" s="351"/>
    </row>
    <row r="25" spans="1:23" ht="15" x14ac:dyDescent="0.25">
      <c r="A25" s="352" t="s">
        <v>236</v>
      </c>
      <c r="B25" s="363">
        <f>B22</f>
        <v>11.009</v>
      </c>
      <c r="C25" s="353"/>
      <c r="N25" s="149"/>
      <c r="O25" s="149"/>
      <c r="P25" s="149"/>
      <c r="Q25" s="149"/>
      <c r="R25" s="149"/>
      <c r="S25" s="149"/>
      <c r="T25" s="149"/>
      <c r="U25" s="149"/>
      <c r="V25" s="149"/>
    </row>
    <row r="26" spans="1:23" ht="15" x14ac:dyDescent="0.25">
      <c r="A26" s="352" t="s">
        <v>234</v>
      </c>
      <c r="B26" s="363">
        <f>H22</f>
        <v>10.044</v>
      </c>
      <c r="C26" s="353"/>
      <c r="K26" s="291"/>
    </row>
    <row r="27" spans="1:23" ht="15" x14ac:dyDescent="0.25">
      <c r="A27" s="352"/>
      <c r="B27" s="359"/>
      <c r="C27" s="353"/>
    </row>
    <row r="28" spans="1:23" ht="15" x14ac:dyDescent="0.25">
      <c r="A28" s="352" t="s">
        <v>235</v>
      </c>
      <c r="B28" s="364">
        <f>(B26-B25)/ABS(B25)</f>
        <v>-8.7655554546280295E-2</v>
      </c>
      <c r="C28" s="353"/>
      <c r="W28" s="149"/>
    </row>
    <row r="29" spans="1:23" ht="15" x14ac:dyDescent="0.25">
      <c r="A29" s="355"/>
      <c r="B29" s="354"/>
      <c r="C29" s="353"/>
    </row>
    <row r="30" spans="1:23" ht="15.75" thickBot="1" x14ac:dyDescent="0.3">
      <c r="A30" s="356"/>
      <c r="B30" s="357"/>
      <c r="C30" s="358"/>
    </row>
    <row r="32" spans="1:23" x14ac:dyDescent="0.2">
      <c r="L32" s="292">
        <f>N32*Y14</f>
        <v>0</v>
      </c>
      <c r="M32" s="293"/>
      <c r="N32" s="293">
        <f>T33</f>
        <v>0</v>
      </c>
      <c r="Q32" s="149"/>
    </row>
    <row r="33" spans="5:18" x14ac:dyDescent="0.2">
      <c r="K33" s="149"/>
      <c r="L33" s="149"/>
      <c r="R33" s="261"/>
    </row>
    <row r="34" spans="5:18" x14ac:dyDescent="0.2">
      <c r="K34" s="149"/>
      <c r="L34" s="149"/>
    </row>
    <row r="35" spans="5:18" x14ac:dyDescent="0.2">
      <c r="E35" s="149"/>
      <c r="F35" s="149"/>
      <c r="G35" s="149"/>
      <c r="H35" s="149"/>
      <c r="I35" s="149"/>
      <c r="J35" s="149"/>
      <c r="L35" s="149"/>
    </row>
    <row r="36" spans="5:18" x14ac:dyDescent="0.2">
      <c r="G36" s="149"/>
      <c r="H36" s="149"/>
      <c r="I36" s="149"/>
      <c r="J36" s="149"/>
      <c r="K36" s="149"/>
    </row>
    <row r="37" spans="5:18" x14ac:dyDescent="0.2">
      <c r="G37" s="149"/>
      <c r="H37" s="149"/>
      <c r="I37" s="149"/>
      <c r="J37" s="149"/>
      <c r="L37" s="149"/>
    </row>
    <row r="38" spans="5:18" x14ac:dyDescent="0.2">
      <c r="G38" s="149"/>
      <c r="H38" s="149"/>
      <c r="I38" s="149"/>
      <c r="J38" s="149"/>
    </row>
    <row r="39" spans="5:18" x14ac:dyDescent="0.2">
      <c r="G39" s="149"/>
      <c r="H39" s="149"/>
      <c r="I39" s="149"/>
      <c r="J39" s="149"/>
    </row>
    <row r="40" spans="5:18" x14ac:dyDescent="0.2">
      <c r="G40" s="149"/>
      <c r="H40" s="149"/>
      <c r="I40" s="149"/>
      <c r="J40" s="149"/>
    </row>
    <row r="41" spans="5:18" x14ac:dyDescent="0.2">
      <c r="G41" s="149"/>
      <c r="H41" s="149"/>
      <c r="I41" s="149"/>
      <c r="J41" s="149"/>
    </row>
    <row r="42" spans="5:18" x14ac:dyDescent="0.2">
      <c r="H42" s="149"/>
      <c r="I42" s="149"/>
      <c r="J42" s="149"/>
    </row>
    <row r="43" spans="5:18" x14ac:dyDescent="0.2">
      <c r="H43" s="149"/>
      <c r="I43" s="149"/>
      <c r="J43" s="149"/>
    </row>
    <row r="44" spans="5:18" x14ac:dyDescent="0.2">
      <c r="H44" s="149"/>
      <c r="I44" s="149"/>
      <c r="J44" s="149"/>
    </row>
    <row r="45" spans="5:18" ht="12.6" customHeight="1" x14ac:dyDescent="0.2">
      <c r="H45" s="149"/>
      <c r="I45" s="149"/>
    </row>
    <row r="46" spans="5:18" ht="12.6" customHeight="1" x14ac:dyDescent="0.2">
      <c r="H46" s="149"/>
      <c r="I46" s="149"/>
    </row>
    <row r="47" spans="5:18" ht="12.6" customHeight="1" x14ac:dyDescent="0.2">
      <c r="H47" s="149"/>
      <c r="I47" s="149"/>
    </row>
    <row r="48" spans="5:18" ht="12.6" customHeight="1" x14ac:dyDescent="0.2">
      <c r="H48" s="149"/>
      <c r="I48" s="149"/>
    </row>
    <row r="49" spans="8:10" x14ac:dyDescent="0.2">
      <c r="H49" s="149"/>
      <c r="I49" s="149"/>
      <c r="J49" s="149"/>
    </row>
    <row r="50" spans="8:10" x14ac:dyDescent="0.2">
      <c r="H50" s="149"/>
      <c r="I50" s="149"/>
      <c r="J50" s="149"/>
    </row>
    <row r="51" spans="8:10" x14ac:dyDescent="0.2">
      <c r="H51" s="149"/>
      <c r="I51" s="149"/>
      <c r="J51" s="149"/>
    </row>
  </sheetData>
  <sheetProtection sheet="1" objects="1" scenarios="1"/>
  <mergeCells count="12">
    <mergeCell ref="W14:X14"/>
    <mergeCell ref="Y14:AA14"/>
    <mergeCell ref="W4:AA4"/>
    <mergeCell ref="W10:AA10"/>
    <mergeCell ref="K7:K8"/>
    <mergeCell ref="Q7:Q8"/>
    <mergeCell ref="A24:B24"/>
    <mergeCell ref="E7:E8"/>
    <mergeCell ref="A7:A8"/>
    <mergeCell ref="A1:A2"/>
    <mergeCell ref="A4:C4"/>
    <mergeCell ref="E1:U2"/>
  </mergeCells>
  <pageMargins left="0.7" right="0.7" top="0.78740157499999996" bottom="0.78740157499999996" header="0.3" footer="0.3"/>
  <pageSetup paperSize="9"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7DD97"/>
  </sheetPr>
  <dimension ref="B2:Y32"/>
  <sheetViews>
    <sheetView showGridLines="0" zoomScale="110" zoomScaleNormal="110" workbookViewId="0">
      <selection activeCell="R15" sqref="R15"/>
    </sheetView>
  </sheetViews>
  <sheetFormatPr baseColWidth="10" defaultRowHeight="12.75" x14ac:dyDescent="0.2"/>
  <cols>
    <col min="2" max="2" width="39" customWidth="1"/>
    <col min="3" max="3" width="6.5703125" customWidth="1"/>
    <col min="4" max="4" width="12.28515625" bestFit="1" customWidth="1"/>
    <col min="5" max="5" width="7.85546875" customWidth="1"/>
    <col min="6" max="6" width="13.5703125" customWidth="1"/>
    <col min="7" max="7" width="15.28515625" bestFit="1" customWidth="1"/>
    <col min="8" max="8" width="7.28515625" bestFit="1" customWidth="1"/>
    <col min="9" max="9" width="1.7109375" bestFit="1" customWidth="1"/>
    <col min="10" max="10" width="6.140625" bestFit="1" customWidth="1"/>
    <col min="11" max="11" width="1.85546875" bestFit="1" customWidth="1"/>
    <col min="12" max="12" width="8.140625" bestFit="1" customWidth="1"/>
    <col min="13" max="13" width="4.42578125" customWidth="1"/>
    <col min="15" max="15" width="13.140625" bestFit="1" customWidth="1"/>
    <col min="16" max="16" width="4.140625" bestFit="1" customWidth="1"/>
    <col min="18" max="18" width="6.5703125" customWidth="1"/>
    <col min="19" max="19" width="11.5703125" bestFit="1" customWidth="1"/>
    <col min="20" max="20" width="4.42578125" bestFit="1" customWidth="1"/>
  </cols>
  <sheetData>
    <row r="2" spans="2:25" ht="77.25" customHeight="1" x14ac:dyDescent="0.2">
      <c r="B2" s="479" t="s">
        <v>146</v>
      </c>
      <c r="C2" s="479"/>
      <c r="D2" s="479"/>
      <c r="E2" s="479"/>
      <c r="F2" s="479"/>
      <c r="G2" s="479"/>
      <c r="H2" s="479"/>
      <c r="I2" s="479"/>
      <c r="J2" s="479"/>
      <c r="K2" s="479"/>
      <c r="L2" s="479"/>
      <c r="M2" s="479"/>
    </row>
    <row r="3" spans="2:25" ht="30" x14ac:dyDescent="0.25">
      <c r="B3" s="205" t="s">
        <v>113</v>
      </c>
      <c r="C3" s="120"/>
      <c r="D3" s="481" t="s">
        <v>120</v>
      </c>
      <c r="E3" s="481"/>
      <c r="F3" s="481"/>
      <c r="G3" s="481"/>
      <c r="H3" s="481"/>
      <c r="I3" s="481"/>
      <c r="J3" s="481"/>
      <c r="K3" s="481"/>
      <c r="L3" s="481"/>
      <c r="M3" s="481"/>
      <c r="X3" s="264" t="s">
        <v>85</v>
      </c>
      <c r="Y3" s="265">
        <f>'Taxi - Mietwagen'!J47</f>
        <v>35</v>
      </c>
    </row>
    <row r="4" spans="2:25" ht="15" x14ac:dyDescent="0.25">
      <c r="B4" s="478" t="s">
        <v>115</v>
      </c>
      <c r="C4" s="120"/>
      <c r="D4" s="485" t="s">
        <v>121</v>
      </c>
      <c r="E4" s="485"/>
      <c r="F4" s="138"/>
      <c r="G4" s="484" t="s">
        <v>207</v>
      </c>
      <c r="H4" s="484"/>
      <c r="I4" s="484"/>
      <c r="J4" s="484"/>
      <c r="K4" s="484"/>
      <c r="L4" s="484"/>
      <c r="M4" s="484"/>
      <c r="X4" s="264" t="s">
        <v>80</v>
      </c>
      <c r="Y4" s="266">
        <f>'Taxi - Mietwagen'!K47</f>
        <v>0.08</v>
      </c>
    </row>
    <row r="5" spans="2:25" ht="15" x14ac:dyDescent="0.25">
      <c r="B5" s="478"/>
      <c r="C5" s="120"/>
      <c r="D5" s="485"/>
      <c r="E5" s="485"/>
      <c r="F5" s="121"/>
      <c r="G5" s="129" t="s">
        <v>86</v>
      </c>
      <c r="H5" s="489">
        <v>450</v>
      </c>
      <c r="I5" s="489"/>
      <c r="J5" s="489"/>
      <c r="K5" s="120"/>
      <c r="L5" s="120"/>
      <c r="M5" s="120"/>
      <c r="X5" s="264" t="s">
        <v>81</v>
      </c>
      <c r="Y5" s="267">
        <f>Y3*Y4</f>
        <v>2.8000000000000003</v>
      </c>
    </row>
    <row r="6" spans="2:25" ht="6.75" customHeight="1" x14ac:dyDescent="0.25">
      <c r="B6" s="303"/>
      <c r="C6" s="120"/>
      <c r="D6" s="304"/>
      <c r="E6" s="304"/>
      <c r="F6" s="121"/>
      <c r="G6" s="305"/>
      <c r="H6" s="305"/>
      <c r="I6" s="305"/>
      <c r="J6" s="305"/>
      <c r="K6" s="305"/>
      <c r="L6" s="305"/>
      <c r="M6" s="120"/>
      <c r="X6" s="264"/>
      <c r="Y6" s="267"/>
    </row>
    <row r="7" spans="2:25" ht="15" x14ac:dyDescent="0.25">
      <c r="B7" s="133" t="s">
        <v>118</v>
      </c>
      <c r="C7" s="120"/>
      <c r="D7" s="136" t="s">
        <v>83</v>
      </c>
      <c r="E7" s="137">
        <v>4.5</v>
      </c>
      <c r="F7" s="121"/>
      <c r="G7" s="129" t="s">
        <v>87</v>
      </c>
      <c r="H7" s="310">
        <v>24</v>
      </c>
      <c r="I7" s="120" t="s">
        <v>89</v>
      </c>
      <c r="J7" s="312">
        <v>4.5</v>
      </c>
      <c r="K7" s="314" t="s">
        <v>90</v>
      </c>
      <c r="L7" s="121">
        <f>J7*H7</f>
        <v>108</v>
      </c>
      <c r="M7" s="120"/>
      <c r="X7" s="264" t="s">
        <v>82</v>
      </c>
      <c r="Y7" s="264">
        <f>'Taxi - Mietwagen'!J31*'Taxi - Mietwagen'!K27</f>
        <v>891.98</v>
      </c>
    </row>
    <row r="8" spans="2:25" ht="6.75" customHeight="1" x14ac:dyDescent="0.25">
      <c r="B8" s="133"/>
      <c r="C8" s="120"/>
      <c r="D8" s="136"/>
      <c r="E8" s="137"/>
      <c r="F8" s="121"/>
      <c r="G8" s="305"/>
      <c r="H8" s="305"/>
      <c r="I8" s="305"/>
      <c r="J8" s="305"/>
      <c r="K8" s="314"/>
      <c r="L8" s="121"/>
      <c r="M8" s="120"/>
      <c r="X8" s="264"/>
      <c r="Y8" s="264"/>
    </row>
    <row r="9" spans="2:25" ht="15" x14ac:dyDescent="0.25">
      <c r="B9" s="478" t="s">
        <v>114</v>
      </c>
      <c r="C9" s="120"/>
      <c r="D9" s="136" t="s">
        <v>84</v>
      </c>
      <c r="E9" s="137">
        <v>2.2000000000000002</v>
      </c>
      <c r="F9" s="120"/>
      <c r="G9" s="141" t="s">
        <v>88</v>
      </c>
      <c r="H9" s="311">
        <v>141</v>
      </c>
      <c r="I9" s="122" t="s">
        <v>89</v>
      </c>
      <c r="J9" s="313">
        <v>2.2000000000000002</v>
      </c>
      <c r="K9" s="315" t="s">
        <v>90</v>
      </c>
      <c r="L9" s="123">
        <f>J9*H9</f>
        <v>310.20000000000005</v>
      </c>
      <c r="M9" s="120"/>
    </row>
    <row r="10" spans="2:25" ht="15" x14ac:dyDescent="0.25">
      <c r="B10" s="478"/>
      <c r="C10" s="120"/>
      <c r="D10" s="136" t="s">
        <v>85</v>
      </c>
      <c r="E10" s="137">
        <v>35</v>
      </c>
      <c r="F10" s="120"/>
      <c r="G10" s="486" t="s">
        <v>91</v>
      </c>
      <c r="H10" s="486"/>
      <c r="I10" s="486"/>
      <c r="J10" s="486"/>
      <c r="K10" s="486"/>
      <c r="L10" s="124">
        <f>SUM(L7:L9)</f>
        <v>418.20000000000005</v>
      </c>
      <c r="M10" s="120"/>
    </row>
    <row r="11" spans="2:25" ht="14.45" customHeight="1" x14ac:dyDescent="0.25">
      <c r="B11" s="478" t="s">
        <v>116</v>
      </c>
      <c r="C11" s="120"/>
      <c r="D11" s="136" t="s">
        <v>160</v>
      </c>
      <c r="E11" s="137">
        <v>7</v>
      </c>
      <c r="F11" s="120"/>
      <c r="G11" s="487" t="s">
        <v>92</v>
      </c>
      <c r="H11" s="487"/>
      <c r="I11" s="487"/>
      <c r="J11" s="487"/>
      <c r="K11" s="487"/>
      <c r="L11" s="121">
        <f>H5</f>
        <v>450</v>
      </c>
      <c r="M11" s="125"/>
    </row>
    <row r="12" spans="2:25" ht="15" x14ac:dyDescent="0.25">
      <c r="B12" s="478"/>
      <c r="C12" s="120"/>
      <c r="D12" s="136" t="s">
        <v>161</v>
      </c>
      <c r="E12" s="137">
        <v>20</v>
      </c>
      <c r="F12" s="120"/>
      <c r="G12" s="487" t="s">
        <v>85</v>
      </c>
      <c r="H12" s="487"/>
      <c r="I12" s="487"/>
      <c r="J12" s="487"/>
      <c r="K12" s="487"/>
      <c r="L12" s="121">
        <f>L11-L10</f>
        <v>31.799999999999955</v>
      </c>
      <c r="M12" s="120"/>
    </row>
    <row r="13" spans="2:25" ht="15" x14ac:dyDescent="0.25">
      <c r="B13" s="478"/>
      <c r="C13" s="120"/>
      <c r="D13" s="120"/>
      <c r="E13" s="120"/>
      <c r="F13" s="120"/>
      <c r="G13" s="487" t="s">
        <v>93</v>
      </c>
      <c r="H13" s="487"/>
      <c r="I13" s="487"/>
      <c r="J13" s="487"/>
      <c r="K13" s="487"/>
      <c r="L13" s="126">
        <f>L12/L11</f>
        <v>7.0666666666666572E-2</v>
      </c>
      <c r="M13" s="120"/>
    </row>
    <row r="14" spans="2:25" ht="15" x14ac:dyDescent="0.25">
      <c r="B14" s="128"/>
      <c r="C14" s="120"/>
      <c r="D14" s="120"/>
      <c r="E14" s="120"/>
      <c r="F14" s="120"/>
      <c r="G14" s="127"/>
      <c r="H14" s="127"/>
      <c r="I14" s="127"/>
      <c r="J14" s="127"/>
      <c r="K14" s="127"/>
      <c r="L14" s="126"/>
      <c r="M14" s="120"/>
    </row>
    <row r="15" spans="2:25" ht="15.75" customHeight="1" thickBot="1" x14ac:dyDescent="0.3">
      <c r="B15" s="482" t="s">
        <v>171</v>
      </c>
      <c r="C15" s="100"/>
      <c r="D15" s="488"/>
      <c r="E15" s="488"/>
      <c r="F15" s="488"/>
      <c r="G15" s="488"/>
      <c r="H15" s="488"/>
      <c r="I15" s="488"/>
      <c r="J15" s="488"/>
      <c r="K15" s="488"/>
      <c r="L15" s="118">
        <f>L16/L17</f>
        <v>566.03773584905741</v>
      </c>
      <c r="M15" s="100"/>
    </row>
    <row r="16" spans="2:25" ht="15.75" thickBot="1" x14ac:dyDescent="0.3">
      <c r="B16" s="482"/>
      <c r="C16" s="100"/>
      <c r="D16" s="475" t="s">
        <v>117</v>
      </c>
      <c r="E16" s="475"/>
      <c r="F16" s="475"/>
      <c r="G16" s="475"/>
      <c r="H16" s="475"/>
      <c r="I16" s="475"/>
      <c r="J16" s="475"/>
      <c r="K16" s="477"/>
      <c r="L16" s="203">
        <v>40</v>
      </c>
      <c r="M16" s="100"/>
    </row>
    <row r="17" spans="2:13" ht="15" x14ac:dyDescent="0.25">
      <c r="B17" s="482"/>
      <c r="C17" s="100"/>
      <c r="D17" s="475" t="s">
        <v>108</v>
      </c>
      <c r="E17" s="475"/>
      <c r="F17" s="475"/>
      <c r="G17" s="475"/>
      <c r="H17" s="475"/>
      <c r="I17" s="475"/>
      <c r="J17" s="475"/>
      <c r="K17" s="476"/>
      <c r="L17" s="316">
        <f>L13</f>
        <v>7.0666666666666572E-2</v>
      </c>
      <c r="M17" s="100"/>
    </row>
    <row r="18" spans="2:13" ht="15.75" thickBot="1" x14ac:dyDescent="0.3">
      <c r="B18" s="482"/>
      <c r="C18" s="100"/>
      <c r="D18" s="480"/>
      <c r="E18" s="480"/>
      <c r="F18" s="480"/>
      <c r="G18" s="480"/>
      <c r="H18" s="480"/>
      <c r="I18" s="480"/>
      <c r="J18" s="480"/>
      <c r="K18" s="480"/>
      <c r="L18" s="100"/>
      <c r="M18" s="100"/>
    </row>
    <row r="19" spans="2:13" ht="15.75" thickBot="1" x14ac:dyDescent="0.3">
      <c r="B19" s="482"/>
      <c r="C19" s="100"/>
      <c r="D19" s="475" t="s">
        <v>109</v>
      </c>
      <c r="E19" s="475"/>
      <c r="F19" s="475"/>
      <c r="G19" s="475"/>
      <c r="H19" s="475"/>
      <c r="I19" s="475"/>
      <c r="J19" s="475"/>
      <c r="K19" s="477"/>
      <c r="L19" s="204">
        <v>0.01</v>
      </c>
      <c r="M19" s="100"/>
    </row>
    <row r="20" spans="2:13" ht="15" x14ac:dyDescent="0.25">
      <c r="B20" s="482"/>
      <c r="C20" s="100"/>
      <c r="D20" s="100"/>
      <c r="E20" s="100"/>
      <c r="F20" s="100"/>
      <c r="G20" s="100"/>
      <c r="H20" s="100"/>
      <c r="I20" s="100"/>
      <c r="J20" s="100"/>
      <c r="K20" s="100"/>
      <c r="L20" s="100"/>
      <c r="M20" s="100"/>
    </row>
    <row r="21" spans="2:13" ht="15" x14ac:dyDescent="0.25">
      <c r="B21" s="482"/>
      <c r="C21" s="100"/>
      <c r="D21" s="483" t="s">
        <v>110</v>
      </c>
      <c r="E21" s="483"/>
      <c r="F21" s="483"/>
      <c r="G21" s="483"/>
      <c r="H21" s="483"/>
      <c r="I21" s="483"/>
      <c r="J21" s="483"/>
      <c r="K21" s="483"/>
      <c r="L21" s="217">
        <f>L19+L17</f>
        <v>8.0666666666666567E-2</v>
      </c>
      <c r="M21" s="100"/>
    </row>
    <row r="22" spans="2:13" ht="15" x14ac:dyDescent="0.25">
      <c r="B22" s="100"/>
      <c r="C22" s="100"/>
      <c r="D22" s="135"/>
      <c r="E22" s="134"/>
      <c r="F22" s="134"/>
      <c r="G22" s="134"/>
      <c r="H22" s="134"/>
      <c r="I22" s="134"/>
      <c r="J22" s="134"/>
      <c r="K22" s="134" t="s">
        <v>119</v>
      </c>
      <c r="L22" s="218">
        <f>L21*L15</f>
        <v>45.660377358490578</v>
      </c>
      <c r="M22" s="100"/>
    </row>
    <row r="23" spans="2:13" ht="15" x14ac:dyDescent="0.25">
      <c r="B23" s="100"/>
      <c r="C23" s="100"/>
      <c r="D23" s="100"/>
      <c r="E23" s="100"/>
      <c r="F23" s="100"/>
      <c r="G23" s="100"/>
      <c r="H23" s="145"/>
      <c r="I23" s="145"/>
      <c r="J23" s="145"/>
      <c r="K23" s="145"/>
      <c r="L23" s="145"/>
      <c r="M23" s="146" t="s">
        <v>125</v>
      </c>
    </row>
    <row r="32" spans="2:13" ht="5.45" customHeight="1" x14ac:dyDescent="0.2"/>
  </sheetData>
  <sheetProtection sheet="1" objects="1" scenarios="1"/>
  <mergeCells count="19">
    <mergeCell ref="G13:K13"/>
    <mergeCell ref="D15:K15"/>
    <mergeCell ref="H5:J5"/>
    <mergeCell ref="D17:K17"/>
    <mergeCell ref="D16:K16"/>
    <mergeCell ref="B11:B13"/>
    <mergeCell ref="B2:M2"/>
    <mergeCell ref="D18:K18"/>
    <mergeCell ref="B4:B5"/>
    <mergeCell ref="B9:B10"/>
    <mergeCell ref="D3:M3"/>
    <mergeCell ref="B15:B21"/>
    <mergeCell ref="D19:K19"/>
    <mergeCell ref="D21:K21"/>
    <mergeCell ref="G4:M4"/>
    <mergeCell ref="D4:E5"/>
    <mergeCell ref="G10:K10"/>
    <mergeCell ref="G11:K11"/>
    <mergeCell ref="G12:K12"/>
  </mergeCells>
  <phoneticPr fontId="31" type="noConversion"/>
  <pageMargins left="0.7" right="0.7" top="0.78740157499999996" bottom="0.78740157499999996"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Lies mich</vt:lpstr>
      <vt:lpstr>Taxi - Mietwagen</vt:lpstr>
      <vt:lpstr>Treibstoff Rechner</vt:lpstr>
      <vt:lpstr>Nachtzuschlag Rechner </vt:lpstr>
      <vt:lpstr>Lohnkostenanteil</vt:lpstr>
      <vt:lpstr>Fahrpreis Rechner</vt:lpstr>
      <vt:lpstr>Verkehrsbedingte Wartezeit</vt:lpstr>
      <vt:lpstr>'Taxi - Mietwagen'!Druckbereich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dc:creator>
  <cp:lastModifiedBy>Ralph</cp:lastModifiedBy>
  <cp:revision>0</cp:revision>
  <cp:lastPrinted>2022-03-02T08:26:58Z</cp:lastPrinted>
  <dcterms:created xsi:type="dcterms:W3CDTF">2011-08-25T19:11:47Z</dcterms:created>
  <dcterms:modified xsi:type="dcterms:W3CDTF">2022-05-03T17:43:55Z</dcterms:modified>
</cp:coreProperties>
</file>